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HUBgOXTAd1ZHVk9bChJtGWRZiJxHMbQSs+ckjrcmZKcj2f+1/UpYJwc3B9/ZJVSRswHJQi1Rnj0jzi0jxykLcA==" workbookSaltValue="WxLRwo1O50xvE39WTdlIU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F16" i="13" s="1"/>
  <c r="BB15" i="13"/>
  <c r="BA15" i="13"/>
  <c r="BD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F15" i="17" s="1"/>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Z13" i="13" s="1"/>
  <c r="AY12" i="13"/>
  <c r="BG12" i="13" s="1"/>
  <c r="AY11" i="13"/>
  <c r="BG11" i="13" s="1"/>
  <c r="BB9" i="13"/>
  <c r="BA9" i="13"/>
  <c r="BD9" i="13" s="1"/>
  <c r="AY9" i="13"/>
  <c r="BC12" i="13"/>
  <c r="BC11" i="13"/>
  <c r="BC10" i="13"/>
  <c r="BC13" i="13" s="1"/>
  <c r="BB10" i="13"/>
  <c r="BA10" i="13"/>
  <c r="AZ10" i="13"/>
  <c r="AY10" i="13"/>
  <c r="BC9" i="13"/>
  <c r="BC17" i="13"/>
  <c r="BC18" i="13" s="1"/>
  <c r="BB17" i="13"/>
  <c r="BB18" i="13" s="1"/>
  <c r="BA17" i="13"/>
  <c r="BD17" i="13" s="1"/>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E11" i="6" s="1"/>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O19" i="8"/>
  <c r="AZ9" i="8"/>
  <c r="BB16" i="8"/>
  <c r="BA16" i="8"/>
  <c r="AZ16" i="8"/>
  <c r="AY16" i="8"/>
  <c r="BB15" i="8"/>
  <c r="BE15" i="8" s="1"/>
  <c r="BA15" i="8"/>
  <c r="AZ15" i="8"/>
  <c r="BD15" i="8" s="1"/>
  <c r="AY15" i="8"/>
  <c r="BB12" i="8"/>
  <c r="BE12" i="8" s="1"/>
  <c r="BA12" i="8"/>
  <c r="AZ12" i="8"/>
  <c r="AY12" i="8"/>
  <c r="BB11" i="8"/>
  <c r="BE11" i="8" s="1"/>
  <c r="BA11" i="8"/>
  <c r="AZ11" i="8"/>
  <c r="BD11" i="8" s="1"/>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M19" i="8"/>
  <c r="AP13" i="17"/>
  <c r="BD17" i="8"/>
  <c r="BF17" i="8"/>
  <c r="AB19" i="19"/>
  <c r="E18" i="12"/>
  <c r="ER19" i="8"/>
  <c r="EL19" i="8"/>
  <c r="AC11" i="11"/>
  <c r="EQ19" i="8"/>
  <c r="AP12" i="11"/>
  <c r="Y11" i="11"/>
  <c r="AT18" i="17"/>
  <c r="N10" i="11"/>
  <c r="N9" i="11"/>
  <c r="T10" i="21"/>
  <c r="AO16" i="11"/>
  <c r="F10" i="10"/>
  <c r="D11" i="2"/>
  <c r="N11" i="11"/>
  <c r="ES19" i="8"/>
  <c r="C18" i="7"/>
  <c r="S19" i="13"/>
  <c r="AG19" i="19"/>
  <c r="F9" i="11"/>
  <c r="CI19" i="8"/>
  <c r="AE19" i="8"/>
  <c r="F17" i="16"/>
  <c r="BL17" i="16" s="1"/>
  <c r="EP19" i="8"/>
  <c r="ER19" i="13"/>
  <c r="AL13" i="16"/>
  <c r="S13" i="16"/>
  <c r="H18" i="16"/>
  <c r="P13" i="16"/>
  <c r="AN13" i="20"/>
  <c r="Z13" i="17"/>
  <c r="C11" i="6"/>
  <c r="I11" i="12" s="1"/>
  <c r="M13" i="2"/>
  <c r="AO9" i="11"/>
  <c r="AJ19" i="8"/>
  <c r="AY18" i="8"/>
  <c r="BF15" i="8"/>
  <c r="BD12" i="8"/>
  <c r="BD9" i="8"/>
  <c r="BA13" i="8"/>
  <c r="AV18" i="17"/>
  <c r="J18" i="17"/>
  <c r="T13" i="16"/>
  <c r="AP13" i="16"/>
  <c r="F11" i="11"/>
  <c r="AQ11" i="11" s="1"/>
  <c r="T18" i="17"/>
  <c r="BG15" i="13"/>
  <c r="BE15"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T19" i="8"/>
  <c r="BG16" i="8"/>
  <c r="K16" i="7" s="1"/>
  <c r="AW18" i="21"/>
  <c r="H13" i="12"/>
  <c r="BG12" i="8"/>
  <c r="K12" i="7" s="1"/>
  <c r="AB19" i="8"/>
  <c r="Z19" i="8"/>
  <c r="N13" i="2"/>
  <c r="H12" i="7"/>
  <c r="F9" i="2"/>
  <c r="AL11" i="11"/>
  <c r="B9" i="6"/>
  <c r="K9" i="7"/>
  <c r="H15" i="7"/>
  <c r="H12" i="2"/>
  <c r="C10" i="6"/>
  <c r="L11" i="14"/>
  <c r="E18" i="2"/>
  <c r="AO17" i="11"/>
  <c r="AL15" i="11"/>
  <c r="L16" i="14"/>
  <c r="M18" i="2"/>
  <c r="N18" i="2"/>
  <c r="BA18" i="13"/>
  <c r="BF15" i="13"/>
  <c r="BG15" i="8"/>
  <c r="B12" i="6"/>
  <c r="L12" i="14"/>
  <c r="B17" i="6"/>
  <c r="C17" i="6"/>
  <c r="BF9" i="13"/>
  <c r="BE12" i="13"/>
  <c r="F16" i="17"/>
  <c r="AQ16" i="17" s="1"/>
  <c r="BG16" i="13"/>
  <c r="BD16" i="13"/>
  <c r="BE16" i="13"/>
  <c r="H15" i="2"/>
  <c r="E15" i="6"/>
  <c r="K15" i="12" s="1"/>
  <c r="B16" i="6"/>
  <c r="D12" i="12"/>
  <c r="F12" i="11"/>
  <c r="AQ12" i="11" s="1"/>
  <c r="E9" i="6"/>
  <c r="K9" i="12" s="1"/>
  <c r="AY13" i="8"/>
  <c r="AY19" i="8" s="1"/>
  <c r="AO12" i="11"/>
  <c r="I11" i="7"/>
  <c r="AY13" i="13"/>
  <c r="BE9" i="13"/>
  <c r="BB13" i="13"/>
  <c r="S16" i="14"/>
  <c r="V16" i="14" s="1"/>
  <c r="R8" i="9"/>
  <c r="AP16" i="20"/>
  <c r="V15" i="11"/>
  <c r="BH15" i="11"/>
  <c r="Q17" i="20"/>
  <c r="Q18" i="20" s="1"/>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U9" i="17"/>
  <c r="U19" i="17" s="1"/>
  <c r="BM9" i="11"/>
  <c r="BK16" i="11"/>
  <c r="BH10" i="11"/>
  <c r="S11" i="14"/>
  <c r="V11" i="14" s="1"/>
  <c r="BU12" i="17"/>
  <c r="BW11" i="20"/>
  <c r="BU10" i="17"/>
  <c r="AP17" i="20"/>
  <c r="BG15" i="11"/>
  <c r="AO16" i="17"/>
  <c r="AP10" i="21"/>
  <c r="V12" i="21"/>
  <c r="BF10" i="11"/>
  <c r="BM16" i="11"/>
  <c r="BH11" i="16"/>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I12" i="12" s="1"/>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B18" i="6" s="1"/>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BL11" i="16" s="1"/>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E11" i="12"/>
  <c r="AH19" i="8"/>
  <c r="AG19" i="8"/>
  <c r="U19" i="8"/>
  <c r="BG17" i="8"/>
  <c r="K17" i="7" s="1"/>
  <c r="J12" i="2"/>
  <c r="H11" i="2"/>
  <c r="H9" i="2"/>
  <c r="BE17" i="8"/>
  <c r="I17" i="7" s="1"/>
  <c r="N12" i="11"/>
  <c r="AT19" i="8"/>
  <c r="L18" i="11"/>
  <c r="I15" i="10"/>
  <c r="K15" i="10" s="1"/>
  <c r="I9" i="10"/>
  <c r="K9" i="10" s="1"/>
  <c r="F18" i="2"/>
  <c r="AN9" i="11"/>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I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Y21" i="21"/>
  <c r="AG18" i="11"/>
  <c r="AK18" i="11"/>
  <c r="E13" i="14"/>
  <c r="O19" i="16"/>
  <c r="I17" i="12"/>
  <c r="AS16" i="20"/>
  <c r="AQ19" i="20"/>
  <c r="D11" i="6"/>
  <c r="J11" i="12" s="1"/>
  <c r="E11" i="3"/>
  <c r="R15" i="14"/>
  <c r="BH16" i="16"/>
  <c r="AM17" i="11"/>
  <c r="BI16" i="11"/>
  <c r="BG17" i="11"/>
  <c r="BI11" i="11"/>
  <c r="P19" i="8"/>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AL18" i="11" l="1"/>
  <c r="F18" i="11"/>
  <c r="B19" i="7"/>
  <c r="AI19" i="11"/>
  <c r="K12" i="12"/>
  <c r="D19" i="12"/>
  <c r="Y13" i="11"/>
  <c r="G19" i="7"/>
  <c r="F19" i="7"/>
  <c r="I10" i="12"/>
  <c r="H13" i="2"/>
  <c r="BE13" i="13"/>
  <c r="BG13" i="13"/>
  <c r="F18" i="20"/>
  <c r="F21" i="20" s="1"/>
  <c r="C18" i="6"/>
  <c r="BF13" i="13"/>
  <c r="AM13" i="11"/>
  <c r="BL9" i="11"/>
  <c r="P17" i="17"/>
  <c r="BK9" i="11"/>
  <c r="AO12" i="17"/>
  <c r="BM12" i="11"/>
  <c r="BJ15" i="11"/>
  <c r="R17" i="20"/>
  <c r="AZ15" i="11"/>
  <c r="AZ18" i="11" s="1"/>
  <c r="BV12" i="16"/>
  <c r="U10" i="17"/>
  <c r="AA16" i="16"/>
  <c r="T16" i="11"/>
  <c r="BI9" i="11"/>
  <c r="BH11" i="11"/>
  <c r="BH12" i="16"/>
  <c r="BF11" i="11"/>
  <c r="BG10" i="11"/>
  <c r="Q10" i="11" s="1"/>
  <c r="BK12" i="11"/>
  <c r="X9" i="17"/>
  <c r="V9" i="11"/>
  <c r="AP15" i="20"/>
  <c r="AZ9" i="11"/>
  <c r="BV17" i="16"/>
  <c r="BV18" i="16" s="1"/>
  <c r="BV11" i="16"/>
  <c r="S11" i="17"/>
  <c r="X15" i="17"/>
  <c r="Q17" i="17"/>
  <c r="Q18" i="17" s="1"/>
  <c r="Q19" i="17" s="1"/>
  <c r="BJ10" i="11"/>
  <c r="S17" i="17"/>
  <c r="X12" i="17"/>
  <c r="L12" i="2"/>
  <c r="S12" i="14"/>
  <c r="R16" i="14"/>
  <c r="X12" i="21"/>
  <c r="X19" i="21" s="1"/>
  <c r="BH9" i="16"/>
  <c r="BJ17" i="11"/>
  <c r="BH15" i="16"/>
  <c r="V11" i="16"/>
  <c r="BF16" i="11"/>
  <c r="BL12" i="11"/>
  <c r="BK15" i="11"/>
  <c r="V11" i="11"/>
  <c r="Q10" i="21"/>
  <c r="Q13" i="21" s="1"/>
  <c r="Q19" i="21" s="1"/>
  <c r="BI15" i="11"/>
  <c r="BI18" i="11" s="1"/>
  <c r="R10" i="21"/>
  <c r="R13" i="21" s="1"/>
  <c r="R19" i="21" s="1"/>
  <c r="BG9" i="11"/>
  <c r="BH17" i="11"/>
  <c r="T17" i="16"/>
  <c r="T18" i="16" s="1"/>
  <c r="T19" i="16" s="1"/>
  <c r="BU15" i="17"/>
  <c r="BU21" i="17" s="1"/>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BK10" i="11"/>
  <c r="BG16" i="11"/>
  <c r="AQ10" i="21"/>
  <c r="BG12" i="11"/>
  <c r="P12" i="11" s="1"/>
  <c r="AA15" i="16"/>
  <c r="BW10" i="20"/>
  <c r="BW12" i="20"/>
  <c r="BU11" i="17"/>
  <c r="BK17" i="11"/>
  <c r="BJ12" i="11"/>
  <c r="BH9" i="11"/>
  <c r="BK11" i="11"/>
  <c r="R12" i="14"/>
  <c r="R13" i="14" s="1"/>
  <c r="BL17" i="11"/>
  <c r="BH17" i="16"/>
  <c r="T9" i="11"/>
  <c r="S10" i="14"/>
  <c r="V10" i="14" s="1"/>
  <c r="R11" i="14"/>
  <c r="AM9" i="11"/>
  <c r="T11" i="11"/>
  <c r="X16" i="17"/>
  <c r="AA9" i="16"/>
  <c r="V15" i="16"/>
  <c r="V12" i="16"/>
  <c r="AZ17" i="11"/>
  <c r="X12" i="16"/>
  <c r="AM16" i="11"/>
  <c r="AM12" i="11"/>
  <c r="AO9" i="17"/>
  <c r="AQ13" i="21"/>
  <c r="X16" i="16"/>
  <c r="BH18" i="16"/>
  <c r="U12" i="17"/>
  <c r="AZ10" i="11"/>
  <c r="V10" i="21"/>
  <c r="V13" i="21" s="1"/>
  <c r="V19" i="21" s="1"/>
  <c r="Q18" i="11"/>
  <c r="T13" i="11"/>
  <c r="X13" i="17"/>
  <c r="BH13" i="11"/>
  <c r="U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K18" i="11" l="1"/>
  <c r="Q16" i="11"/>
  <c r="P16" i="11"/>
  <c r="R18" i="20"/>
  <c r="R19" i="20" s="1"/>
  <c r="BK13" i="11"/>
  <c r="P9" i="11"/>
  <c r="Q9" i="11"/>
  <c r="BF18" i="11"/>
  <c r="BK19" i="11"/>
  <c r="P17" i="11"/>
  <c r="BW21" i="20"/>
  <c r="V18" i="20"/>
  <c r="V19" i="20"/>
  <c r="BH18" i="11"/>
  <c r="V12" i="14"/>
  <c r="V13" i="14" s="1"/>
  <c r="V19" i="14" s="1"/>
  <c r="S13" i="14"/>
  <c r="S19" i="14" s="1"/>
  <c r="AZ13" i="11"/>
  <c r="AZ19" i="11"/>
  <c r="BJ18" i="11"/>
  <c r="P15" i="11"/>
  <c r="BL18" i="11"/>
  <c r="Q12"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F19" i="11" l="1"/>
  <c r="BD19" i="8"/>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H19" i="7"/>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<sst xmlns="http://schemas.openxmlformats.org/spreadsheetml/2006/main" count="2102" uniqueCount="917">
  <si>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</si>
  <si>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</si>
  <si>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</si>
  <si>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</si>
  <si>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</si>
  <si>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</si>
  <si>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</si>
  <si>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</si>
  <si>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</si>
  <si>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</si>
  <si>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</si>
  <si>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</si>
  <si>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</si>
  <si>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</si>
  <si>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</si>
  <si>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</si>
  <si>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</si>
  <si>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</si>
  <si>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</si>
  <si>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</si>
  <si>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</si>
  <si>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</si>
  <si>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</si>
  <si>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</si>
  <si>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</si>
  <si>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</si>
  <si>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</si>
  <si>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</si>
  <si>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</si>
  <si>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</si>
  <si>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</si>
  <si>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</si>
  <si>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</si>
  <si>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</si>
  <si>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</si>
  <si>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</si>
  <si>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</si>
  <si>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</si>
  <si>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</si>
  <si>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</si>
  <si>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</si>
  <si>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</si>
  <si>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</si>
  <si>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</si>
  <si>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</si>
  <si>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</si>
  <si>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</si>
  <si>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</si>
  <si>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</si>
  <si>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</si>
  <si>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</si>
  <si>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</si>
  <si>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</si>
  <si>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</si>
  <si>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</si>
  <si>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</si>
  <si>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</si>
  <si>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</si>
  <si>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</si>
  <si>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</si>
  <si>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</si>
  <si>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</si>
  <si>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</si>
  <si>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</si>
  <si>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</si>
  <si>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</si>
  <si>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</si>
  <si>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</si>
  <si>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</si>
  <si>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</si>
  <si>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</si>
  <si>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</si>
  <si>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</si>
  <si>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</si>
  <si>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</si>
  <si>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</si>
  <si>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</si>
  <si>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</si>
  <si>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</si>
  <si>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</si>
  <si>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</si>
  <si>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</si>
  <si>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</si>
  <si>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</si>
  <si>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</si>
  <si>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</si>
  <si>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</si>
  <si>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</si>
  <si>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</si>
  <si>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</si>
  <si>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</si>
  <si>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</si>
  <si>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</si>
  <si>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</si>
  <si>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</si>
  <si>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</si>
  <si>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</si>
  <si>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</si>
  <si>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</si>
  <si>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</si>
  <si>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</si>
  <si>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</si>
  <si>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</si>
  <si>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</si>
  <si>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</si>
  <si>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</si>
  <si>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</si>
  <si>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</si>
  <si>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</si>
  <si>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</si>
  <si>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</si>
  <si>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</si>
  <si>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</si>
  <si>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</si>
  <si>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</si>
  <si>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</si>
  <si>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</si>
  <si>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</si>
  <si>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</si>
  <si>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</si>
  <si>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</si>
  <si>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</si>
  <si>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</si>
  <si>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</si>
  <si>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</si>
  <si>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</si>
  <si>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</si>
  <si>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</si>
  <si>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</si>
  <si>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</si>
  <si>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</si>
  <si>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</si>
  <si>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</si>
  <si>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</si>
  <si>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</si>
  <si>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</si>
  <si>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</si>
  <si>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</si>
  <si>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</si>
  <si>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</si>
  <si>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</si>
  <si>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</si>
  <si>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</si>
  <si>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</si>
  <si>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</si>
  <si>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</si>
  <si>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</si>
  <si>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</si>
  <si>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</si>
  <si>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</si>
  <si>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</si>
  <si>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</si>
  <si>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</si>
  <si>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</si>
  <si>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</si>
  <si>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</si>
  <si>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</si>
  <si>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</si>
  <si>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</si>
  <si>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</si>
  <si>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</si>
  <si>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</si>
  <si>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</si>
  <si>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</si>
  <si>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</si>
  <si>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</si>
  <si>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</si>
  <si>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</si>
  <si>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</si>
  <si>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</si>
  <si>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</si>
  <si>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</si>
  <si>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</si>
  <si>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</si>
  <si>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</si>
  <si>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</si>
  <si>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</si>
  <si>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</si>
  <si>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</si>
  <si>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</si>
  <si>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</si>
  <si>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</si>
  <si>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</si>
  <si>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</si>
  <si>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</si>
  <si>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</si>
  <si>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</si>
  <si>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</si>
  <si>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</si>
  <si>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</si>
  <si>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</si>
  <si>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</si>
  <si>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</si>
  <si>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</si>
  <si>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</si>
  <si>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</si>
  <si>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</si>
  <si>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</si>
  <si>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</si>
  <si>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</si>
  <si>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</si>
  <si>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</si>
  <si>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</si>
  <si>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</si>
  <si>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</si>
  <si>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</si>
  <si>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</si>
  <si>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</si>
  <si>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</si>
  <si>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</si>
  <si>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</si>
  <si>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</si>
  <si>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</si>
  <si>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</si>
  <si>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</si>
  <si>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</si>
  <si>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</si>
  <si>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</si>
  <si>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</si>
  <si>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</si>
  <si>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</si>
  <si>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</si>
  <si>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</si>
  <si>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</si>
  <si>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</si>
  <si>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</si>
  <si>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</si>
  <si>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</si>
  <si>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</si>
  <si>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</si>
  <si>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</si>
  <si>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</si>
  <si>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</si>
  <si>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</si>
  <si>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</si>
  <si>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</si>
  <si>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</si>
  <si>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</si>
  <si>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</si>
  <si>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</si>
  <si>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</si>
  <si>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</si>
  <si>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</si>
  <si>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</si>
  <si>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</si>
  <si>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</si>
  <si>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</si>
  <si>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</si>
  <si>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</si>
  <si>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</si>
  <si>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</si>
  <si>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</si>
  <si>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</si>
  <si>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</si>
  <si>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</si>
  <si>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</si>
  <si>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</si>
  <si>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</si>
  <si>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</si>
  <si>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</si>
  <si>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</si>
  <si>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</si>
  <si>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</si>
  <si>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</si>
  <si>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</si>
  <si>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</si>
  <si>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</si>
  <si>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</si>
  <si>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</si>
  <si>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</si>
  <si>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</si>
  <si>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</si>
  <si>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</si>
  <si>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</si>
  <si>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</si>
  <si>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</si>
  <si>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</si>
  <si>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</si>
  <si>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</si>
  <si>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</si>
  <si>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</si>
  <si>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</si>
  <si>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</si>
  <si>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</si>
  <si>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</si>
  <si>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</si>
  <si>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</si>
  <si>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</si>
  <si>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</si>
  <si>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</si>
  <si>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</si>
  <si>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</si>
  <si>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</si>
  <si>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</si>
  <si>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</si>
  <si>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</si>
  <si>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</si>
  <si>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</si>
  <si>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</si>
  <si>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</si>
  <si>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</si>
  <si>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</si>
  <si>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</si>
  <si>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</si>
  <si>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</si>
  <si>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</si>
  <si>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</si>
  <si>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</si>
  <si>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</si>
  <si>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</si>
  <si>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</si>
  <si>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</si>
  <si>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</si>
  <si>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</si>
  <si>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</si>
  <si>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</si>
  <si>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</si>
  <si>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</si>
  <si>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</si>
  <si>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</si>
  <si>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</si>
  <si>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</si>
  <si>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</si>
  <si>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</si>
  <si>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</si>
  <si>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</si>
  <si>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</si>
  <si>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</si>
  <si>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</si>
  <si>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</si>
  <si>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</si>
  <si>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</si>
  <si>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</si>
  <si>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</si>
  <si>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</si>
  <si>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</si>
  <si>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</si>
  <si>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</si>
  <si>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</si>
  <si>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</si>
  <si>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</si>
  <si>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</si>
  <si>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</si>
  <si>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</si>
  <si>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</si>
  <si>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</si>
  <si>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</si>
  <si>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</si>
  <si>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</si>
  <si>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</si>
  <si>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</si>
  <si>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</si>
  <si>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</si>
  <si>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</si>
  <si>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</si>
  <si>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</si>
  <si>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</si>
  <si>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</si>
  <si>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</si>
  <si>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</si>
  <si>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</si>
  <si>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</si>
  <si>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</si>
  <si>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</si>
  <si>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</si>
  <si>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</si>
  <si>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</si>
  <si>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</si>
  <si>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</si>
  <si>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</si>
  <si>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</si>
  <si>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</si>
  <si>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</si>
  <si>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</si>
  <si>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</si>
  <si>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</si>
  <si>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</si>
  <si>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</si>
  <si>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</si>
  <si>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</si>
  <si>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</si>
  <si>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</si>
  <si>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</si>
  <si>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</si>
  <si>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</si>
  <si>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</si>
  <si>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</si>
  <si>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</si>
  <si>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</si>
  <si>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</si>
  <si>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</si>
  <si>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</si>
  <si>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</si>
  <si>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</si>
  <si>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</si>
  <si>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</si>
  <si>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</si>
  <si>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</si>
  <si>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</si>
  <si>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</si>
  <si>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</si>
  <si>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</si>
  <si>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</si>
  <si>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</si>
  <si>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</si>
  <si>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</si>
  <si>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</si>
  <si>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</si>
  <si>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</si>
  <si>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</si>
  <si>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</si>
  <si>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</si>
  <si>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</si>
  <si>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</si>
  <si>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</si>
  <si>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</si>
  <si>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</si>
  <si>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</si>
  <si>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</si>
  <si>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</si>
  <si>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</si>
  <si>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</si>
  <si>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</si>
  <si>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</si>
  <si>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</si>
  <si>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</si>
  <si>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</si>
  <si>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</si>
  <si>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</si>
  <si>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</si>
  <si>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</si>
  <si>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</si>
  <si>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</si>
  <si>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</si>
  <si>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</si>
  <si>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</si>
  <si>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</si>
  <si>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</si>
  <si>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</si>
  <si>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</si>
  <si>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</si>
  <si>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</si>
  <si>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</si>
  <si>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</si>
  <si>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</si>
  <si>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</si>
  <si>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</si>
  <si>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</si>
  <si>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</si>
  <si>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</si>
  <si>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</si>
  <si>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</si>
  <si>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</si>
  <si>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</si>
  <si>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</si>
  <si>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</si>
  <si>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</si>
  <si>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</si>
  <si>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</si>
  <si>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</si>
  <si>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</si>
  <si>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</si>
  <si>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</si>
  <si>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</si>
  <si>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</si>
  <si>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</si>
  <si>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</si>
  <si>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</si>
  <si>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</si>
  <si>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</si>
  <si>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</si>
  <si>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</si>
  <si>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</si>
  <si>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</si>
  <si>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</si>
  <si>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</si>
  <si>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</si>
  <si>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</si>
  <si>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</si>
  <si>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</si>
  <si>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</si>
  <si>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</si>
  <si>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</si>
  <si>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</si>
  <si>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</si>
  <si>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</si>
  <si>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</si>
  <si>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</si>
  <si>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</si>
  <si>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</si>
  <si>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</si>
  <si>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</si>
  <si>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</si>
  <si>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</si>
  <si>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</si>
  <si>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</si>
  <si>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</si>
  <si>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</si>
  <si>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</si>
  <si>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</si>
  <si>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</si>
  <si>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</si>
  <si>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</si>
  <si>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</si>
  <si>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</si>
  <si>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</si>
  <si>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</si>
  <si>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</si>
  <si>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</si>
  <si>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</si>
  <si>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</si>
  <si>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</si>
  <si>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</si>
  <si>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</si>
  <si>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</si>
  <si>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</si>
  <si>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</si>
  <si>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</si>
  <si>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</si>
  <si>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</si>
  <si>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</si>
  <si>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</si>
  <si>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</si>
  <si>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</si>
  <si>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</si>
  <si>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</si>
  <si>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</si>
  <si>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</si>
  <si>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</si>
  <si>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</si>
  <si>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</si>
  <si>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</si>
  <si>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</si>
  <si>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</si>
  <si>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</si>
  <si>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</si>
  <si>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</si>
  <si>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</si>
  <si>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</si>
  <si>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</si>
  <si>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</si>
  <si>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</si>
  <si>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</si>
  <si>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</si>
  <si>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</si>
  <si>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</si>
  <si>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</si>
  <si>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</si>
  <si>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</si>
  <si>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</si>
  <si>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</si>
  <si>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</si>
  <si>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</si>
  <si>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</si>
  <si>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</si>
  <si>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</si>
  <si>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</si>
  <si>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</si>
  <si>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</si>
  <si>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</si>
  <si>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</si>
  <si>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</si>
  <si>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</si>
  <si>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</si>
  <si>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</si>
  <si>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</si>
  <si>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</si>
  <si>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</si>
  <si>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</si>
  <si>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</si>
  <si>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</si>
  <si>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</si>
  <si>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</si>
  <si>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</si>
  <si>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</si>
  <si>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</si>
  <si>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</si>
  <si>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</si>
  <si>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</si>
  <si>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</si>
  <si>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</si>
  <si>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</si>
  <si>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</si>
  <si>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</si>
  <si>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</si>
  <si>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</si>
  <si>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</si>
  <si>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</si>
  <si>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</si>
  <si>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</si>
  <si>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</si>
  <si>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</si>
  <si>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</si>
  <si>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</si>
  <si>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</si>
  <si>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</si>
  <si>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</si>
  <si>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</si>
  <si>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</si>
  <si>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</si>
  <si>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</si>
  <si>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</si>
  <si>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</si>
  <si>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</si>
  <si>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</si>
  <si>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</si>
  <si>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</si>
  <si>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</si>
  <si>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</si>
  <si>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</si>
  <si>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</si>
  <si>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</si>
  <si>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</si>
  <si>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</si>
  <si>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</si>
  <si>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</si>
  <si>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</si>
  <si>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</si>
  <si>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</si>
  <si>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</si>
  <si>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</si>
  <si>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</si>
  <si>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</si>
  <si>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</si>
  <si>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</si>
  <si>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</si>
  <si>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</si>
  <si>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</si>
  <si>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</si>
  <si>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</si>
  <si>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</si>
  <si>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</si>
  <si>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</si>
  <si>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</si>
  <si>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</si>
  <si>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</si>
  <si>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</si>
  <si>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</si>
  <si>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</si>
  <si>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</si>
  <si>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</si>
  <si>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</si>
  <si>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</si>
  <si>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</si>
  <si>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</si>
  <si>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</si>
  <si>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</si>
  <si>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</si>
  <si>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</si>
  <si>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</si>
  <si>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</si>
  <si>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</si>
  <si>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</si>
  <si>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</si>
  <si>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</si>
  <si>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</si>
  <si>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</si>
  <si>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</si>
  <si>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</si>
  <si>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</si>
  <si>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</si>
  <si>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</si>
  <si>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</si>
  <si>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</si>
  <si>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</si>
  <si>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</si>
  <si>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</si>
  <si>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</si>
  <si>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</si>
  <si>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</si>
  <si>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</si>
  <si>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</si>
  <si>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</si>
  <si>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</si>
  <si>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</si>
  <si>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</si>
  <si>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</si>
  <si>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</si>
  <si>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</si>
  <si>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</si>
  <si>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</si>
  <si>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</si>
  <si>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</si>
  <si>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</si>
  <si>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</si>
  <si>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</si>
  <si>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</si>
  <si>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</si>
  <si>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</si>
  <si>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</si>
  <si>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</si>
  <si>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</si>
  <si>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</si>
  <si>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</si>
  <si>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</si>
  <si>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</si>
  <si>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</si>
  <si>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</si>
  <si>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</si>
  <si>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</si>
  <si>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</si>
  <si>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</si>
  <si>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</si>
  <si>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</si>
  <si>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</si>
  <si>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</si>
  <si>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</si>
  <si>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</si>
  <si>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</si>
  <si>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</si>
  <si>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</si>
  <si>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</si>
  <si>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</si>
  <si>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</si>
  <si>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</si>
  <si>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</si>
  <si>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</si>
  <si>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</si>
  <si>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</si>
  <si>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</si>
  <si>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</si>
  <si>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</si>
  <si>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</si>
  <si>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</si>
  <si>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</si>
  <si>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</si>
  <si>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</si>
  <si>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</si>
  <si>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</si>
  <si>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</si>
  <si>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</si>
  <si>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</si>
  <si>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</si>
  <si>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</si>
  <si>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</si>
  <si>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</si>
  <si>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</si>
  <si>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</si>
  <si>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</si>
  <si>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</si>
  <si>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</si>
  <si>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</si>
  <si>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</si>
  <si>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</si>
  <si>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</si>
  <si>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</si>
  <si>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</si>
  <si>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</si>
  <si>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</si>
  <si>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</si>
  <si>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</si>
  <si>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</si>
  <si>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</si>
  <si>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</si>
  <si>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</si>
  <si>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</si>
  <si>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</si>
  <si>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</si>
  <si>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</si>
  <si>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</si>
  <si>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</si>
  <si>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</si>
  <si>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</si>
  <si>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</si>
  <si>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</si>
  <si>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</si>
  <si>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</si>
  <si>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</si>
  <si>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</si>
  <si>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</si>
  <si>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</si>
  <si>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</si>
  <si>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</si>
  <si>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</si>
  <si>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</si>
  <si>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</si>
  <si>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</si>
  <si>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</si>
  <si>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</si>
  <si>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</si>
  <si>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</si>
  <si>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</si>
  <si>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</si>
  <si>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</si>
  <si>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</si>
  <si>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</si>
  <si>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</si>
  <si>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</si>
  <si>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</si>
  <si>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</si>
  <si>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</si>
  <si>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</si>
  <si>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</si>
  <si>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</si>
  <si>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</si>
  <si>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</si>
  <si>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</si>
  <si>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</si>
  <si>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</si>
  <si>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</si>
  <si>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</si>
  <si>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</si>
  <si>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</si>
  <si>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</si>
  <si>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</si>
  <si>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</si>
  <si>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</si>
  <si>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</si>
  <si>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</si>
  <si>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</si>
  <si>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</si>
  <si>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</si>
  <si>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</si>
  <si>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</si>
  <si>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</si>
  <si>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</si>
  <si>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</si>
  <si>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</si>
  <si>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</si>
  <si>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</si>
  <si>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</si>
  <si>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</si>
  <si>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</si>
  <si>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</si>
  <si>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</si>
  <si>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</si>
  <si>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</si>
  <si>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</si>
  <si>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</si>
  <si>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</si>
  <si>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</si>
  <si>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</si>
  <si>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</si>
  <si>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</si>
  <si>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</si>
  <si>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</si>
  <si>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</si>
  <si>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</si>
  <si>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</si>
  <si>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</si>
  <si>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</si>
  <si>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</si>
  <si>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</si>
  <si>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</si>
  <si>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</si>
  <si>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</si>
  <si>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</si>
  <si>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</si>
  <si>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</si>
  <si>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</si>
  <si>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</si>
  <si>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</si>
  <si>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</si>
  <si>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</si>
  <si>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</si>
  <si>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</si>
  <si>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</si>
  <si>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</si>
  <si>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</si>
  <si>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</si>
  <si>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</si>
  <si>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</si>
  <si>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</si>
  <si>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</si>
  <si>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</si>
  <si>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</si>
  <si>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</si>
  <si>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</si>
  <si>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</si>
  <si>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</si>
  <si>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</si>
  <si>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</si>
  <si>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</si>
  <si>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</si>
  <si>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</si>
  <si>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</si>
  <si>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</si>
  <si>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</si>
  <si>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</si>
  <si>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</si>
  <si>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</si>
  <si>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</si>
  <si>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</si>
  <si>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</si>
  <si>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</si>
  <si>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</si>
  <si>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</si>
  <si>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</si>
  <si>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</si>
  <si>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</si>
  <si>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</si>
  <si>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</si>
  <si>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</si>
  <si>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</si>
  <si>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</si>
  <si>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</si>
  <si>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</si>
  <si>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</si>
  <si>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</si>
  <si>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</si>
  <si>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</si>
  <si>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</si>
  <si>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</si>
  <si>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</si>
  <si>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</si>
  <si>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</si>
  <si>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</si>
  <si>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</si>
  <si>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</si>
  <si>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</si>
  <si>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</si>
  <si>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</si>
  <si>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</si>
  <si>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MADRID</t>
  </si>
  <si>
    <t>Provincias</t>
  </si>
  <si>
    <t>Resumenes por Partidos Judiciales</t>
  </si>
  <si>
    <t>NAVALCARNERO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</si>
</sst>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Va85JuwslrsNLkJwSgZqNsen9Jo/ZQ9U+qsSJ8iQ4HQq88BMbJ/M7YgZ7EHoiUmoT9syeIYGjk9MJZeeYsv+Vg==" saltValue="Fqz2XlxW3d/qy60j5fBDH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89</v>
      </c>
      <c r="D10" s="224">
        <f>IF(ISNUMBER(Datos!I10),Datos!I10," - ")</f>
        <v>89</v>
      </c>
      <c r="E10" s="225">
        <f>IF(ISNUMBER(Datos!J10),Datos!J10," - ")</f>
        <v>28</v>
      </c>
      <c r="F10" s="225">
        <f>IF(ISNUMBER(Datos!K10),Datos!K10," - ")</f>
        <v>27</v>
      </c>
      <c r="G10" s="1033" t="str">
        <f>IF(Datos!E10&lt;&gt;"",Datos!E10,Datos!D10)</f>
        <v>37</v>
      </c>
      <c r="H10" s="226">
        <f>IF(ISNUMBER(Datos!L10),Datos!L10," - ")</f>
        <v>90</v>
      </c>
      <c r="I10" s="1043" t="str">
        <f>IF(ISNUMBER(Datos!AS10/Datos!BM10),Datos!AS10/Datos!BM10," - ")</f>
        <v xml:space="preserve"> - </v>
      </c>
      <c r="J10" s="1044">
        <f>IF(ISNUMBER(Datos!BY10/Datos!CN10),Datos!BY10/Datos!CN10," - ")</f>
        <v>0</v>
      </c>
      <c r="K10" s="229">
        <f t="shared" ref="K10:K12" si="1">IF(ISNUMBER((E10-F10)/C10),(E10-F10)/C10," - ")</f>
        <v>1.1235955056179775E-2</v>
      </c>
      <c r="L10" s="1024">
        <f>IF(ISNUMBER(NºAsuntos!I10/NºAsuntos!G10),(NºAsuntos!I10/NºAsuntos!G10)*11," - ")</f>
        <v>36.666666666666671</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44.602821486706461</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89</v>
      </c>
      <c r="D13" s="1048">
        <f>SUBTOTAL(9,D9:D12)</f>
        <v>89</v>
      </c>
      <c r="E13" s="1049">
        <f>SUBTOTAL(9,E9:E12)</f>
        <v>28</v>
      </c>
      <c r="F13" s="1050">
        <f>SUBTOTAL(9,F9:F12)</f>
        <v>27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2568</v>
      </c>
      <c r="D16" s="224">
        <f>IF(ISNUMBER(IF(D_I="SI",Datos!I16,Datos!I16+Datos!AC16)),IF(D_I="SI",Datos!I16,Datos!I16+Datos!AC16)," - ")</f>
        <v>2523</v>
      </c>
      <c r="E16" s="225">
        <f>IF(ISNUMBER(IF(D_I="SI",Datos!J16,Datos!J16+Datos!AD16)),IF(D_I="SI",Datos!J16,Datos!J16+Datos!AD16)," - ")</f>
        <v>1951</v>
      </c>
      <c r="F16" s="225">
        <f>IF(ISNUMBER(IF(D_I="SI",Datos!K16,Datos!K16+Datos!AE16)),IF(D_I="SI",Datos!K16,Datos!K16+Datos!AE16)," - ")</f>
        <v>1732</v>
      </c>
      <c r="G16" s="1033" t="str">
        <f>IF(Datos!E16&lt;&gt;"",Datos!E16,Datos!D16)</f>
        <v>04</v>
      </c>
      <c r="H16" s="226">
        <f>IF(ISNUMBER(IF(D_I="SI",Datos!L16,Datos!L16+Datos!AF16)),IF(D_I="SI",Datos!L16,Datos!L16+Datos!AF16)," - ")</f>
        <v>2787</v>
      </c>
      <c r="I16" s="1043" t="str">
        <f>IF(ISNUMBER(Datos!AS16/Datos!BM16),Datos!AS16/Datos!BM16," - ")</f>
        <v xml:space="preserve"> - </v>
      </c>
      <c r="J16" s="1044">
        <f>IF(ISNUMBER(Datos!BY16/Datos!CN16),Datos!BY16/Datos!CN16," - ")</f>
        <v>0</v>
      </c>
      <c r="K16" s="229">
        <f t="shared" si="3"/>
        <v>8.5280373831775697E-2</v>
      </c>
      <c r="L16" s="1024">
        <f>IF(ISNUMBER(NºAsuntos!I16/NºAsuntos!G16),(NºAsuntos!I16/NºAsuntos!G16)*11," - ")</f>
        <v>17.700346420323328</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187</v>
      </c>
      <c r="D17" s="224">
        <f>IF(ISNUMBER(IF(D_I="SI",Datos!I17,Datos!I17+Datos!AC17)),IF(D_I="SI",Datos!I17,Datos!I17+Datos!AC17)," - ")</f>
        <v>187</v>
      </c>
      <c r="E17" s="225">
        <f>IF(ISNUMBER(IF(D_I="SI",Datos!J17,Datos!J17+Datos!AD17)),IF(D_I="SI",Datos!J17,Datos!J17+Datos!AD17)," - ")</f>
        <v>131</v>
      </c>
      <c r="F17" s="225">
        <f>IF(ISNUMBER(IF(D_I="SI",Datos!K17,Datos!K17+Datos!AE17)),IF(D_I="SI",Datos!K17,Datos!K17+Datos!AE17)," - ")</f>
        <v>134</v>
      </c>
      <c r="G17" s="1033" t="str">
        <f>IF(Datos!E17&lt;&gt;"",Datos!E17,Datos!D17)</f>
        <v>37</v>
      </c>
      <c r="H17" s="226">
        <f>IF(ISNUMBER(IF(D_I="SI",Datos!L17,Datos!L17+Datos!AF17)),IF(D_I="SI",Datos!L17,Datos!L17+Datos!AF17)," - ")</f>
        <v>184</v>
      </c>
      <c r="I17" s="1043" t="str">
        <f>IF(ISNUMBER(Datos!AS17/Datos!BM17),Datos!AS17/Datos!BM17," - ")</f>
        <v xml:space="preserve"> - </v>
      </c>
      <c r="J17" s="1044" t="str">
        <f>IF(ISNUMBER((Datos!BY17+Datos!BZ17)/Datos!CN17),(Datos!BY17+Datos!BZ17)/Datos!CN17," - ")</f>
        <v xml:space="preserve"> - </v>
      </c>
      <c r="K17" s="229">
        <f t="shared" si="3"/>
        <v>-1.6042780748663103E-2</v>
      </c>
      <c r="L17" s="1024">
        <f>IF(ISNUMBER(NºAsuntos!I17/NºAsuntos!G17),(NºAsuntos!I17/NºAsuntos!G17)*11," - ")</f>
        <v>15.104477611940299</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2755</v>
      </c>
      <c r="D18" s="1048">
        <f>SUBTOTAL(9,D15:D17)</f>
        <v>2710</v>
      </c>
      <c r="E18" s="1049">
        <f>SUBTOTAL(9,E15:E17)</f>
        <v>2082</v>
      </c>
      <c r="F18" s="1049">
        <f>SUBTOTAL(9,F15:F17)</f>
        <v>1866</v>
      </c>
      <c r="G18" s="1051" t="str">
        <f ca="1">INDIRECT(CONCATENATE("G",ROW()-1))</f>
        <v>37</v>
      </c>
      <c r="H18" s="1052">
        <f ca="1">SUMIF(G$14:G17,G18,H$14:H17)</f>
        <v>184</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2844</v>
      </c>
      <c r="D19" s="1070">
        <f>SUBTOTAL(9,D9:D18)</f>
        <v>2799</v>
      </c>
      <c r="E19" s="1071">
        <f>SUBTOTAL(9,E9:E18)</f>
        <v>2110</v>
      </c>
      <c r="F19" s="1071">
        <f>SUBTOTAL(9,F9:F18)</f>
        <v>1893</v>
      </c>
      <c r="G19" s="1072"/>
      <c r="H19" s="1073">
        <f ca="1">SUMIF(B9:B18,"TOTAL",H9:H18)</f>
        <v>184</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tTGz3aRBC/ErQtegsnf1hfEo5xxslz7xIXWY+Aw6I4yDIOsB/wtNEXHbiwOBrjv62Up34kKodxlDSmcIil4OQA==" saltValue="5sMPOhfU9XBEeg33Ub2+q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UpaTFsUnEgpVbui5ghS3ixPfQX/nw2n0OjfAKe632jwP6Eh0m59K7zXdVmdp50xGgPJmL6UTlmHdtmM/l95JOA==" saltValue="QO51qh4xi1pL+rAZ5IvJ7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89</v>
      </c>
      <c r="J10" s="180">
        <v>28</v>
      </c>
      <c r="K10" s="180">
        <v>27</v>
      </c>
      <c r="L10" s="180">
        <v>90</v>
      </c>
      <c r="M10" s="180">
        <v>14</v>
      </c>
      <c r="N10" s="180">
        <v>17</v>
      </c>
      <c r="O10" s="180">
        <v>0</v>
      </c>
      <c r="P10" s="180">
        <v>3</v>
      </c>
      <c r="Q10" s="180">
        <v>9</v>
      </c>
      <c r="R10" s="180">
        <v>50</v>
      </c>
      <c r="S10" s="180">
        <v>79</v>
      </c>
      <c r="T10" s="180">
        <v>34</v>
      </c>
      <c r="U10" s="180">
        <v>32</v>
      </c>
      <c r="V10" s="180">
        <v>81</v>
      </c>
      <c r="W10" s="180">
        <v>14</v>
      </c>
      <c r="X10" s="187">
        <v>18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79</v>
      </c>
      <c r="AZ10" s="129">
        <f t="shared" si="0"/>
        <v>34</v>
      </c>
      <c r="BA10" s="129">
        <f t="shared" si="0"/>
        <v>32</v>
      </c>
      <c r="BB10" s="129">
        <f t="shared" si="0"/>
        <v>81</v>
      </c>
      <c r="BC10" s="125">
        <f t="shared" si="0"/>
        <v>14</v>
      </c>
      <c r="BD10" s="126">
        <f>IF(ISNUMBER(BA10/AZ10),BA10/AZ10," - ")</f>
        <v>0.94117647058823528</v>
      </c>
      <c r="BE10" s="127">
        <f>IF(ISNUMBER(BB10/BA10),BB10/BA10, " - ")</f>
        <v>2.53125</v>
      </c>
      <c r="BF10" s="127">
        <f>IF(ISNUMBER(BC10/BA10),BC10/BA10, " - ")</f>
        <v>0.4375</v>
      </c>
      <c r="BG10" s="195">
        <f>IF(ISNUMBER((AY10+AZ10)/BA10),(AY10+AZ10)/BA10," - ")</f>
        <v>3.53125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7637</v>
      </c>
      <c r="J12" s="182">
        <v>1172</v>
      </c>
      <c r="K12" s="182">
        <v>1591</v>
      </c>
      <c r="L12" s="182">
        <v>7208</v>
      </c>
      <c r="M12" s="182">
        <v>275</v>
      </c>
      <c r="N12" s="182">
        <v>1106</v>
      </c>
      <c r="O12" s="180">
        <v>617</v>
      </c>
      <c r="P12" s="182">
        <v>518</v>
      </c>
      <c r="Q12" s="182">
        <v>467</v>
      </c>
      <c r="R12" s="182">
        <v>8955</v>
      </c>
      <c r="S12" s="182">
        <v>6851</v>
      </c>
      <c r="T12" s="182">
        <v>1922</v>
      </c>
      <c r="U12" s="182">
        <v>1780</v>
      </c>
      <c r="V12" s="182">
        <v>6993</v>
      </c>
      <c r="W12" s="182">
        <v>354</v>
      </c>
      <c r="X12" s="188">
        <v>1050</v>
      </c>
      <c r="Y12" s="190">
        <v>233</v>
      </c>
      <c r="Z12" s="180">
        <v>284</v>
      </c>
      <c r="AA12" s="180">
        <v>252</v>
      </c>
      <c r="AB12" s="180">
        <v>265</v>
      </c>
      <c r="AC12" s="182">
        <v>0</v>
      </c>
      <c r="AD12" s="182">
        <v>0</v>
      </c>
      <c r="AE12" s="182">
        <v>0</v>
      </c>
      <c r="AF12" s="188">
        <v>0</v>
      </c>
      <c r="AG12" s="201">
        <v>332</v>
      </c>
      <c r="AH12" s="182">
        <v>230</v>
      </c>
      <c r="AI12" s="182">
        <v>261</v>
      </c>
      <c r="AJ12" s="202">
        <v>236</v>
      </c>
      <c r="AK12" s="181">
        <v>0</v>
      </c>
      <c r="AL12" s="182">
        <v>0</v>
      </c>
      <c r="AM12" s="182">
        <v>0</v>
      </c>
      <c r="AN12" s="188">
        <v>0</v>
      </c>
      <c r="AO12" s="258">
        <v>8</v>
      </c>
      <c r="AP12" s="154">
        <v>8</v>
      </c>
      <c r="AQ12" s="154">
        <v>8</v>
      </c>
      <c r="AR12" s="153">
        <v>8</v>
      </c>
      <c r="AS12" s="339" t="s">
        <v>794</v>
      </c>
      <c r="AT12" s="202"/>
      <c r="AU12" s="201"/>
      <c r="AV12" s="202"/>
      <c r="AW12" s="201"/>
      <c r="AX12" s="202"/>
      <c r="AY12" s="126">
        <f t="shared" si="1"/>
        <v>7183</v>
      </c>
      <c r="AZ12" s="127">
        <f t="shared" si="1"/>
        <v>2152</v>
      </c>
      <c r="BA12" s="127">
        <f t="shared" si="1"/>
        <v>2041</v>
      </c>
      <c r="BB12" s="127">
        <f t="shared" si="1"/>
        <v>7229</v>
      </c>
      <c r="BC12" s="125">
        <f>IF(ISNUMBER(X12),X12," - ")</f>
        <v>1050</v>
      </c>
      <c r="BD12" s="126">
        <f t="shared" si="2"/>
        <v>0.94842007434944242</v>
      </c>
      <c r="BE12" s="127">
        <f t="shared" si="3"/>
        <v>3.5418912297893188</v>
      </c>
      <c r="BF12" s="127">
        <f t="shared" si="4"/>
        <v>0.51445369916707495</v>
      </c>
      <c r="BG12" s="195">
        <f t="shared" si="5"/>
        <v>4.5737383635472808</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7726</v>
      </c>
      <c r="J13" s="183">
        <f t="shared" si="6"/>
        <v>1200</v>
      </c>
      <c r="K13" s="183">
        <f t="shared" si="6"/>
        <v>1618</v>
      </c>
      <c r="L13" s="183">
        <f t="shared" si="6"/>
        <v>7298</v>
      </c>
      <c r="M13" s="183">
        <f t="shared" si="6"/>
        <v>289</v>
      </c>
      <c r="N13" s="183">
        <f t="shared" si="6"/>
        <v>1123</v>
      </c>
      <c r="O13" s="183">
        <f t="shared" si="6"/>
        <v>617</v>
      </c>
      <c r="P13" s="183">
        <f t="shared" si="6"/>
        <v>521</v>
      </c>
      <c r="Q13" s="183">
        <f t="shared" si="6"/>
        <v>476</v>
      </c>
      <c r="R13" s="183">
        <f t="shared" si="6"/>
        <v>9005</v>
      </c>
      <c r="S13" s="183">
        <f t="shared" si="6"/>
        <v>6930</v>
      </c>
      <c r="T13" s="183">
        <f t="shared" si="6"/>
        <v>1956</v>
      </c>
      <c r="U13" s="183">
        <f t="shared" si="6"/>
        <v>1812</v>
      </c>
      <c r="V13" s="183">
        <f t="shared" si="6"/>
        <v>7074</v>
      </c>
      <c r="W13" s="183">
        <f t="shared" si="6"/>
        <v>368</v>
      </c>
      <c r="X13" s="183">
        <f t="shared" si="6"/>
        <v>1068</v>
      </c>
      <c r="Y13" s="183">
        <f t="shared" si="6"/>
        <v>233</v>
      </c>
      <c r="Z13" s="183">
        <f t="shared" si="6"/>
        <v>284</v>
      </c>
      <c r="AA13" s="183">
        <f t="shared" si="6"/>
        <v>252</v>
      </c>
      <c r="AB13" s="183">
        <f t="shared" si="6"/>
        <v>265</v>
      </c>
      <c r="AC13" s="183">
        <f t="shared" si="6"/>
        <v>0</v>
      </c>
      <c r="AD13" s="183">
        <f t="shared" si="6"/>
        <v>0</v>
      </c>
      <c r="AE13" s="183">
        <f t="shared" si="6"/>
        <v>0</v>
      </c>
      <c r="AF13" s="183">
        <f>SUBTOTAL(9,AF9:AF12)</f>
        <v>0</v>
      </c>
      <c r="AG13" s="183">
        <f t="shared" ref="AG13:AT13" si="7">SUBTOTAL(9,AG8:AG12)</f>
        <v>332</v>
      </c>
      <c r="AH13" s="183">
        <f t="shared" si="7"/>
        <v>230</v>
      </c>
      <c r="AI13" s="183">
        <f t="shared" si="7"/>
        <v>261</v>
      </c>
      <c r="AJ13" s="183">
        <f t="shared" si="7"/>
        <v>236</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7262</v>
      </c>
      <c r="AZ13" s="183">
        <f>SUBTOTAL(9,AZ8:AZ12)</f>
        <v>2186</v>
      </c>
      <c r="BA13" s="183">
        <f>SUBTOTAL(9,BA8:BA12)</f>
        <v>2073</v>
      </c>
      <c r="BB13" s="183">
        <f>SUBTOTAL(9,BB8:BB12)</f>
        <v>7310</v>
      </c>
      <c r="BC13" s="183">
        <f>SUBTOTAL(9,BC8:BC12)</f>
        <v>1064</v>
      </c>
      <c r="BD13" s="204">
        <f>IF(ISNUMBER(BA13/AZ13),BA13/AZ13," - ")</f>
        <v>0.94830741079597436</v>
      </c>
      <c r="BE13" s="205">
        <f>IF(ISNUMBER(BB13/BA13),BB13/BA13, " - ")</f>
        <v>3.5262904003859141</v>
      </c>
      <c r="BF13" s="205">
        <f>IF(ISNUMBER(BC13/BA13),BC13/BA13, " - ")</f>
        <v>0.51326579835986497</v>
      </c>
      <c r="BG13" s="206">
        <f>IF(ISNUMBER((AY13+AZ13)/BA13),(AY13+AZ13)/BA13," - ")</f>
        <v>4.5576459237819584</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2523</v>
      </c>
      <c r="J16" s="182">
        <v>1951</v>
      </c>
      <c r="K16" s="182">
        <v>1732</v>
      </c>
      <c r="L16" s="182">
        <v>2787</v>
      </c>
      <c r="M16" s="182">
        <v>189</v>
      </c>
      <c r="N16" s="182">
        <v>1090</v>
      </c>
      <c r="O16" s="180">
        <v>44</v>
      </c>
      <c r="P16" s="182">
        <v>44</v>
      </c>
      <c r="Q16" s="182">
        <v>138</v>
      </c>
      <c r="R16" s="182">
        <v>303</v>
      </c>
      <c r="S16" s="182">
        <v>2369</v>
      </c>
      <c r="T16" s="182">
        <v>1860</v>
      </c>
      <c r="U16" s="182">
        <v>1744</v>
      </c>
      <c r="V16" s="182">
        <v>2507</v>
      </c>
      <c r="W16" s="182">
        <v>263</v>
      </c>
      <c r="X16" s="188">
        <v>1068</v>
      </c>
      <c r="Y16" s="201">
        <v>0</v>
      </c>
      <c r="Z16" s="182">
        <v>0</v>
      </c>
      <c r="AA16" s="182">
        <v>0</v>
      </c>
      <c r="AB16" s="182">
        <v>0</v>
      </c>
      <c r="AC16" s="182">
        <v>14</v>
      </c>
      <c r="AD16" s="182">
        <v>36</v>
      </c>
      <c r="AE16" s="182">
        <v>27</v>
      </c>
      <c r="AF16" s="188">
        <v>23</v>
      </c>
      <c r="AG16" s="201">
        <v>0</v>
      </c>
      <c r="AH16" s="182">
        <v>0</v>
      </c>
      <c r="AI16" s="182">
        <v>0</v>
      </c>
      <c r="AJ16" s="202">
        <v>0</v>
      </c>
      <c r="AK16" s="181">
        <v>3</v>
      </c>
      <c r="AL16" s="182">
        <v>36</v>
      </c>
      <c r="AM16" s="182">
        <v>29</v>
      </c>
      <c r="AN16" s="188">
        <v>10</v>
      </c>
      <c r="AO16" s="258">
        <v>8</v>
      </c>
      <c r="AP16" s="154">
        <v>8</v>
      </c>
      <c r="AQ16" s="154">
        <v>8</v>
      </c>
      <c r="AR16" s="154">
        <v>8</v>
      </c>
      <c r="AS16" s="339" t="s">
        <v>487</v>
      </c>
      <c r="AT16" s="202"/>
      <c r="AU16" s="201"/>
      <c r="AV16" s="202"/>
      <c r="AW16" s="201"/>
      <c r="AX16" s="202"/>
      <c r="AY16" s="126">
        <f t="shared" si="9"/>
        <v>2369</v>
      </c>
      <c r="AZ16" s="127">
        <f t="shared" si="9"/>
        <v>1860</v>
      </c>
      <c r="BA16" s="127">
        <f t="shared" si="9"/>
        <v>1744</v>
      </c>
      <c r="BB16" s="127">
        <f t="shared" si="9"/>
        <v>2507</v>
      </c>
      <c r="BC16" s="125">
        <f>IF(ISNUMBER(W16),W16," - ")</f>
        <v>263</v>
      </c>
      <c r="BD16" s="126">
        <f t="shared" ref="BD16" si="11">IF(ISNUMBER(BA16/AZ16),BA16/AZ16," - ")</f>
        <v>0.93763440860215053</v>
      </c>
      <c r="BE16" s="127">
        <f t="shared" ref="BE16" si="12">IF(ISNUMBER(BB16/BA16),BB16/BA16, " - ")</f>
        <v>1.4375</v>
      </c>
      <c r="BF16" s="127">
        <f t="shared" ref="BF16" si="13">IF(ISNUMBER(BC16/BA16),BC16/BA16, " - ")</f>
        <v>0.15080275229357798</v>
      </c>
      <c r="BG16" s="195">
        <f t="shared" si="10"/>
        <v>2.4248853211009176</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187</v>
      </c>
      <c r="J17" s="182">
        <v>131</v>
      </c>
      <c r="K17" s="182">
        <v>134</v>
      </c>
      <c r="L17" s="182">
        <v>184</v>
      </c>
      <c r="M17" s="182">
        <v>9</v>
      </c>
      <c r="N17" s="182">
        <v>86</v>
      </c>
      <c r="O17" s="182">
        <v>0</v>
      </c>
      <c r="P17" s="182">
        <v>0</v>
      </c>
      <c r="Q17" s="182">
        <v>0</v>
      </c>
      <c r="R17" s="182">
        <v>0</v>
      </c>
      <c r="S17" s="182">
        <v>168</v>
      </c>
      <c r="T17" s="182">
        <v>140</v>
      </c>
      <c r="U17" s="182">
        <v>133</v>
      </c>
      <c r="V17" s="182">
        <v>175</v>
      </c>
      <c r="W17" s="182">
        <v>9</v>
      </c>
      <c r="X17" s="188">
        <v>85</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168</v>
      </c>
      <c r="AZ17" s="129">
        <f t="shared" si="14"/>
        <v>140</v>
      </c>
      <c r="BA17" s="129">
        <f t="shared" si="14"/>
        <v>133</v>
      </c>
      <c r="BB17" s="129">
        <f t="shared" si="14"/>
        <v>175</v>
      </c>
      <c r="BC17" s="125">
        <f>IF(ISNUMBER(W17),W17," - ")</f>
        <v>9</v>
      </c>
      <c r="BD17" s="126">
        <f>IF(ISNUMBER(BA17/AZ17),BA17/AZ17," - ")</f>
        <v>0.95</v>
      </c>
      <c r="BE17" s="127">
        <f>IF(ISNUMBER(BB17/BA17),BB17/BA17, " - ")</f>
        <v>1.3157894736842106</v>
      </c>
      <c r="BF17" s="127">
        <f>IF(ISNUMBER(BC17/BA17),BC17/BA17, " - ")</f>
        <v>6.7669172932330823E-2</v>
      </c>
      <c r="BG17" s="195">
        <f>IF(ISNUMBER((AY17+AZ17)/BA17),(AY17+AZ17)/BA17," - ")</f>
        <v>2.3157894736842106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2710</v>
      </c>
      <c r="J18" s="183">
        <f t="shared" si="15"/>
        <v>2082</v>
      </c>
      <c r="K18" s="183">
        <f t="shared" si="15"/>
        <v>1866</v>
      </c>
      <c r="L18" s="183">
        <f t="shared" si="15"/>
        <v>2971</v>
      </c>
      <c r="M18" s="183">
        <f t="shared" si="15"/>
        <v>198</v>
      </c>
      <c r="N18" s="183">
        <f t="shared" si="15"/>
        <v>1176</v>
      </c>
      <c r="O18" s="183">
        <f t="shared" si="15"/>
        <v>44</v>
      </c>
      <c r="P18" s="183">
        <f t="shared" si="15"/>
        <v>44</v>
      </c>
      <c r="Q18" s="183">
        <f t="shared" si="15"/>
        <v>138</v>
      </c>
      <c r="R18" s="183">
        <f t="shared" si="15"/>
        <v>303</v>
      </c>
      <c r="S18" s="183">
        <f t="shared" si="15"/>
        <v>2537</v>
      </c>
      <c r="T18" s="183">
        <f t="shared" si="15"/>
        <v>2000</v>
      </c>
      <c r="U18" s="183">
        <f t="shared" si="15"/>
        <v>1877</v>
      </c>
      <c r="V18" s="183">
        <f t="shared" si="15"/>
        <v>2682</v>
      </c>
      <c r="W18" s="183">
        <f t="shared" si="15"/>
        <v>272</v>
      </c>
      <c r="X18" s="183">
        <f t="shared" si="15"/>
        <v>1153</v>
      </c>
      <c r="Y18" s="183">
        <f t="shared" si="15"/>
        <v>0</v>
      </c>
      <c r="Z18" s="183">
        <f t="shared" si="15"/>
        <v>0</v>
      </c>
      <c r="AA18" s="183">
        <f t="shared" si="15"/>
        <v>0</v>
      </c>
      <c r="AB18" s="183">
        <f t="shared" si="15"/>
        <v>0</v>
      </c>
      <c r="AC18" s="183">
        <f t="shared" si="15"/>
        <v>14</v>
      </c>
      <c r="AD18" s="183">
        <f t="shared" si="15"/>
        <v>36</v>
      </c>
      <c r="AE18" s="183">
        <f t="shared" si="15"/>
        <v>27</v>
      </c>
      <c r="AF18" s="183">
        <f t="shared" si="15"/>
        <v>23</v>
      </c>
      <c r="AG18" s="183">
        <f t="shared" si="15"/>
        <v>0</v>
      </c>
      <c r="AH18" s="183">
        <f t="shared" si="15"/>
        <v>0</v>
      </c>
      <c r="AI18" s="183">
        <f t="shared" si="15"/>
        <v>0</v>
      </c>
      <c r="AJ18" s="183">
        <f t="shared" si="15"/>
        <v>0</v>
      </c>
      <c r="AK18" s="183">
        <f t="shared" si="15"/>
        <v>3</v>
      </c>
      <c r="AL18" s="183">
        <f t="shared" si="15"/>
        <v>36</v>
      </c>
      <c r="AM18" s="183">
        <f t="shared" si="15"/>
        <v>29</v>
      </c>
      <c r="AN18" s="183">
        <f t="shared" si="15"/>
        <v>10</v>
      </c>
      <c r="AO18" s="183">
        <f t="shared" si="15"/>
        <v>9</v>
      </c>
      <c r="AP18" s="183">
        <f t="shared" si="15"/>
        <v>8</v>
      </c>
      <c r="AQ18" s="183">
        <f t="shared" si="15"/>
        <v>8</v>
      </c>
      <c r="AR18" s="183">
        <f t="shared" si="15"/>
        <v>8</v>
      </c>
      <c r="AS18" s="183">
        <f t="shared" si="15"/>
        <v>0</v>
      </c>
      <c r="AT18" s="183">
        <f t="shared" si="15"/>
        <v>0</v>
      </c>
      <c r="AU18" s="203"/>
      <c r="AV18" s="132"/>
      <c r="AW18" s="203"/>
      <c r="AX18" s="132"/>
      <c r="AY18" s="183">
        <f>SUBTOTAL(9,AY14:AY17)</f>
        <v>2537</v>
      </c>
      <c r="AZ18" s="183">
        <f>SUBTOTAL(9,AZ14:AZ17)</f>
        <v>2000</v>
      </c>
      <c r="BA18" s="183">
        <f>SUBTOTAL(9,BA14:BA17)</f>
        <v>1877</v>
      </c>
      <c r="BB18" s="183">
        <f>SUBTOTAL(9,BB14:BB17)</f>
        <v>2682</v>
      </c>
      <c r="BC18" s="183">
        <f>SUBTOTAL(9,BC14:BC17)</f>
        <v>272</v>
      </c>
      <c r="BD18" s="204">
        <f>IF(ISNUMBER(BA18/AZ18),BA18/AZ18," - ")</f>
        <v>0.9385</v>
      </c>
      <c r="BE18" s="205">
        <f>IF(ISNUMBER(BB18/BA18),BB18/BA18, " - ")</f>
        <v>1.4288758657432072</v>
      </c>
      <c r="BF18" s="205">
        <f>IF(ISNUMBER(BC18/BA18),BC18/BA18, " - ")</f>
        <v>0.1449120937666489</v>
      </c>
      <c r="BG18" s="206">
        <f>IF(ISNUMBER((AY18+AZ18)/BA18),(AY18+AZ18)/BA18," - ")</f>
        <v>2.4171550346297281</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10436</v>
      </c>
      <c r="J19" s="134">
        <f t="shared" si="18"/>
        <v>3282</v>
      </c>
      <c r="K19" s="134">
        <f t="shared" si="18"/>
        <v>3484</v>
      </c>
      <c r="L19" s="134">
        <f t="shared" si="18"/>
        <v>10269</v>
      </c>
      <c r="M19" s="134">
        <f t="shared" si="18"/>
        <v>487</v>
      </c>
      <c r="N19" s="134">
        <f t="shared" si="18"/>
        <v>2299</v>
      </c>
      <c r="O19" s="134">
        <f t="shared" si="18"/>
        <v>661</v>
      </c>
      <c r="P19" s="134">
        <f t="shared" si="18"/>
        <v>565</v>
      </c>
      <c r="Q19" s="134">
        <f t="shared" si="18"/>
        <v>614</v>
      </c>
      <c r="R19" s="134">
        <f t="shared" si="18"/>
        <v>9308</v>
      </c>
      <c r="S19" s="134">
        <f t="shared" si="18"/>
        <v>9467</v>
      </c>
      <c r="T19" s="134">
        <f t="shared" si="18"/>
        <v>3956</v>
      </c>
      <c r="U19" s="134">
        <f t="shared" si="18"/>
        <v>3689</v>
      </c>
      <c r="V19" s="134">
        <f t="shared" si="18"/>
        <v>9756</v>
      </c>
      <c r="W19" s="134">
        <f t="shared" si="18"/>
        <v>640</v>
      </c>
      <c r="X19" s="134">
        <f t="shared" si="18"/>
        <v>2221</v>
      </c>
      <c r="Y19" s="134">
        <f t="shared" si="18"/>
        <v>233</v>
      </c>
      <c r="Z19" s="134">
        <f t="shared" si="18"/>
        <v>284</v>
      </c>
      <c r="AA19" s="134">
        <f t="shared" si="18"/>
        <v>252</v>
      </c>
      <c r="AB19" s="134">
        <f t="shared" si="18"/>
        <v>265</v>
      </c>
      <c r="AC19" s="134">
        <f t="shared" si="18"/>
        <v>14</v>
      </c>
      <c r="AD19" s="134">
        <f t="shared" si="18"/>
        <v>36</v>
      </c>
      <c r="AE19" s="134">
        <f t="shared" si="18"/>
        <v>27</v>
      </c>
      <c r="AF19" s="134">
        <f t="shared" si="18"/>
        <v>23</v>
      </c>
      <c r="AG19" s="134">
        <f t="shared" si="18"/>
        <v>332</v>
      </c>
      <c r="AH19" s="134">
        <f t="shared" si="18"/>
        <v>230</v>
      </c>
      <c r="AI19" s="134">
        <f t="shared" si="18"/>
        <v>261</v>
      </c>
      <c r="AJ19" s="134">
        <f t="shared" si="18"/>
        <v>236</v>
      </c>
      <c r="AK19" s="134">
        <f t="shared" si="18"/>
        <v>3</v>
      </c>
      <c r="AL19" s="134">
        <f t="shared" si="18"/>
        <v>36</v>
      </c>
      <c r="AM19" s="134">
        <f t="shared" si="18"/>
        <v>29</v>
      </c>
      <c r="AN19" s="209">
        <f t="shared" si="18"/>
        <v>10</v>
      </c>
      <c r="AO19" s="210">
        <v>9</v>
      </c>
      <c r="AP19" s="210">
        <v>8</v>
      </c>
      <c r="AQ19" s="210">
        <v>8</v>
      </c>
      <c r="AR19" s="210">
        <v>8</v>
      </c>
      <c r="AS19" s="152">
        <f t="shared" si="18"/>
        <v>0</v>
      </c>
      <c r="AT19" s="152">
        <f t="shared" si="18"/>
        <v>0</v>
      </c>
      <c r="AU19" s="210"/>
      <c r="AV19" s="211"/>
      <c r="AW19" s="210"/>
      <c r="AX19" s="211"/>
      <c r="AY19" s="133">
        <f>SUBTOTAL(9,AY9:AY18)</f>
        <v>9799</v>
      </c>
      <c r="AZ19" s="134">
        <f>SUBTOTAL(9,AZ9:AZ18)</f>
        <v>4186</v>
      </c>
      <c r="BA19" s="134">
        <f>SUBTOTAL(9,BA9:BA18)</f>
        <v>3950</v>
      </c>
      <c r="BB19" s="134">
        <f>SUBTOTAL(9,BB9:BB18)</f>
        <v>9992</v>
      </c>
      <c r="BC19" s="135">
        <f>SUBTOTAL(9,BC9:BC18)</f>
        <v>1336</v>
      </c>
      <c r="BD19" s="212">
        <f>IF(ISNUMBER(BA19/AZ19),BA19/AZ19," - ")</f>
        <v>0.94362159579550886</v>
      </c>
      <c r="BE19" s="209">
        <f>IF(ISNUMBER(BB19/BA19),BB19/BA19, " - ")</f>
        <v>2.5296202531645569</v>
      </c>
      <c r="BF19" s="209">
        <f>IF(ISNUMBER(BC19/BA19),BC19/BA19, " - ")</f>
        <v>0.33822784810126583</v>
      </c>
      <c r="BG19" s="135">
        <f>IF(ISNUMBER((AY19+AZ19)/BA19),(AY19+AZ19)/BA19," - ")</f>
        <v>3.5405063291139243</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sP5B1ci2z2c8ShgzWwwLaFEDhN54Lob7dR3czpkbSyXKXCAPb3x2ELDNXPct8VVu4BFsxcd+J16DOouhu68tg==" saltValue="QlTI1x/UNDCu7qCaVnIXIQ=="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xhjpE8SDBK2HK4mP8h8jyvWyELnkvhUZ74k4qWeo9Ra+oS88s8hIAjdYXfCr7KSieUW8PNNOYLq95TvBIUa8A==" saltValue="w+3xN4dJsYcFMtxqD/lmm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NAVALCARNERO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89</v>
      </c>
      <c r="G10" s="332">
        <f>IF(ISNUMBER(Datos!I10),Datos!I10," - ")</f>
        <v>89</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3</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27</v>
      </c>
      <c r="AC10" s="225">
        <f>IF(ISNUMBER(Datos!Q10),Datos!Q10," - ")</f>
        <v>9</v>
      </c>
      <c r="AD10" s="333"/>
      <c r="AE10" s="483"/>
      <c r="AF10" s="331">
        <f>IF(ISNUMBER(Datos!L10),Datos!L10,"-")</f>
        <v>90</v>
      </c>
      <c r="AG10" s="333"/>
      <c r="AH10" s="333"/>
      <c r="AI10" s="333"/>
      <c r="AJ10" s="333"/>
      <c r="AK10" s="333"/>
      <c r="AL10" s="478"/>
      <c r="AM10" s="334">
        <f>IF(ISNUMBER(Datos!R10),Datos!R10," - ")</f>
        <v>50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14</v>
      </c>
      <c r="BD10" s="228">
        <f>IF(ISNUMBER(Datos!N10),Datos!N10," - ")</f>
        <v>17</v>
      </c>
      <c r="BE10" s="228" t="str">
        <f>IF(ISNUMBER(Datos!BW10),Datos!BW10," - ")</f>
        <v xml:space="preserve"> - </v>
      </c>
      <c r="BF10" s="227" t="str">
        <f>IF(ISNUMBER(Datos!BX10),Datos!BX10," - ")</f>
        <v xml:space="preserve"> - </v>
      </c>
      <c r="BG10" s="242">
        <f>IF(ISNUMBER(Datos!K10/Datos!J10),Datos!K10/Datos!J10," - ")</f>
        <v>0.9642857142857143</v>
      </c>
      <c r="BH10" s="259">
        <f>IF(ISNUMBER(((Datos!L10/Datos!K10)*11)/factor_trimestre),((Datos!L10/Datos!K10)*11)/factor_trimestre," - ")</f>
        <v>6.6666666666666679</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-0.10714285714285714</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284</v>
      </c>
      <c r="O12" s="333"/>
      <c r="P12" s="333"/>
      <c r="Q12" s="225">
        <f>IF(ISNUMBER(Datos!P12),Datos!P12,0)</f>
        <v>518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467</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265</v>
      </c>
      <c r="AI12" s="333" t="str">
        <f>IF(ISNUMBER(Datos!CD12),Datos!CD12,"-")</f>
        <v>-</v>
      </c>
      <c r="AJ12" s="333" t="str">
        <f>IF(ISNUMBER(Datos!EN12),Datos!EN12," - ")</f>
        <v xml:space="preserve"> - </v>
      </c>
      <c r="AK12" s="333"/>
      <c r="AL12" s="478"/>
      <c r="AM12" s="334">
        <f>IF(ISNUMBER(Datos!R12),Datos!R12," - ")</f>
        <v>8955</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275</v>
      </c>
      <c r="BD12" s="228">
        <f>IF(ISNUMBER(Datos!N12),Datos!N12," - ")</f>
        <v>1106</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1.2657967032967032</v>
      </c>
      <c r="BH12" s="259">
        <f>IF(ISNUMBER(((IF(J_V="SI",Datos!L12/Datos!K12,(Datos!L12+Datos!AB12)/(Datos!K12+Datos!AA12)))*11)/factor_trimestre),((IF(J_V="SI",Datos!L12/Datos!K12,(Datos!L12+Datos!AB12)/(Datos!K12+Datos!AA12)))*11)/factor_trimestre," - ")</f>
        <v>8.1096039066739021</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5.7277628032345014E-3</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8</v>
      </c>
      <c r="F13" s="897">
        <f t="shared" si="0"/>
        <v>89</v>
      </c>
      <c r="G13" s="897">
        <f t="shared" si="0"/>
        <v>89</v>
      </c>
      <c r="H13" s="898">
        <f t="shared" si="0"/>
        <v>0</v>
      </c>
      <c r="I13" s="897">
        <f t="shared" si="0"/>
        <v>0</v>
      </c>
      <c r="J13" s="866">
        <f t="shared" si="0"/>
        <v>0</v>
      </c>
      <c r="K13" s="866">
        <f t="shared" si="0"/>
        <v>0</v>
      </c>
      <c r="L13" s="898">
        <f t="shared" si="0"/>
        <v>0</v>
      </c>
      <c r="M13" s="898">
        <f t="shared" si="0"/>
        <v>0</v>
      </c>
      <c r="N13" s="898">
        <f t="shared" si="0"/>
        <v>284</v>
      </c>
      <c r="O13" s="899">
        <f t="shared" si="0"/>
        <v>0</v>
      </c>
      <c r="P13" s="899">
        <f t="shared" si="0"/>
        <v>0</v>
      </c>
      <c r="Q13" s="898">
        <f t="shared" si="0"/>
        <v>521</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27</v>
      </c>
      <c r="AC13" s="898">
        <f t="shared" si="1"/>
        <v>476</v>
      </c>
      <c r="AD13" s="898">
        <f t="shared" si="1"/>
        <v>0</v>
      </c>
      <c r="AE13" s="898">
        <f t="shared" si="1"/>
        <v>0</v>
      </c>
      <c r="AF13" s="898">
        <f t="shared" si="1"/>
        <v>90</v>
      </c>
      <c r="AG13" s="898">
        <f t="shared" si="1"/>
        <v>0</v>
      </c>
      <c r="AH13" s="898">
        <f t="shared" si="1"/>
        <v>265</v>
      </c>
      <c r="AI13" s="898">
        <f t="shared" si="1"/>
        <v>0</v>
      </c>
      <c r="AJ13" s="898">
        <f t="shared" si="1"/>
        <v>0</v>
      </c>
      <c r="AK13" s="898">
        <f t="shared" si="1"/>
        <v>0</v>
      </c>
      <c r="AL13" s="898">
        <f t="shared" si="1"/>
        <v>0</v>
      </c>
      <c r="AM13" s="898">
        <f t="shared" si="1"/>
        <v>9005</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289</v>
      </c>
      <c r="BD13" s="898">
        <f t="shared" si="1"/>
        <v>1123</v>
      </c>
      <c r="BE13" s="898">
        <f t="shared" si="1"/>
        <v>0</v>
      </c>
      <c r="BF13" s="898">
        <f t="shared" si="1"/>
        <v>0</v>
      </c>
      <c r="BG13" s="898">
        <f>IF(ISNUMBER(Datos!K13/Datos!J13),Datos!K13/Datos!J13," - ")</f>
        <v>1.3483333333333334</v>
      </c>
      <c r="BH13" s="902">
        <f>IF(ISNUMBER(((Datos!L13/Datos!K13)*11)/factor_trimestre),((Datos!L13/Datos!K13)*11)/factor_trimestre," - ")</f>
        <v>9.0210135970333738</v>
      </c>
      <c r="BI13" s="898">
        <f>IF(ISNUMBER('Resol  Asuntos'!D13/NºAsuntos!G13),'Resol  Asuntos'!D13/NºAsuntos!G13," - ")</f>
        <v>0.15454545454545454</v>
      </c>
      <c r="BJ13" s="898" t="str">
        <f>IF(ISNUMBER(Datos!CI13/Datos!CJ13),Datos!CI13/Datos!CJ13," - ")</f>
        <v xml:space="preserve"> - </v>
      </c>
      <c r="BK13" s="898">
        <f>SUBTOTAL(9,BK8:BK12)</f>
        <v>0</v>
      </c>
      <c r="BL13" s="898">
        <f>IF(ISNUMBER((I13-AB13+L13)/(F13)),(I13-AB13+L13)/(F13)," - ")</f>
        <v>-0.30337078651685395</v>
      </c>
      <c r="BM13" s="903">
        <f>SUBTOTAL(9,BM9:BM12)</f>
        <v>-0.10141509433962263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2568</v>
      </c>
      <c r="G16" s="597">
        <f>IF(ISNUMBER(IF(D_I="SI",Datos!I16,Datos!I16+Datos!AC16)),IF(D_I="SI",Datos!I16,Datos!I16+Datos!AC16)," - ")</f>
        <v>2523</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44</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1732</v>
      </c>
      <c r="AC16" s="225">
        <f>IF(ISNUMBER(Datos!Q16),Datos!Q16," - ")</f>
        <v>138</v>
      </c>
      <c r="AD16" s="333"/>
      <c r="AE16" s="483"/>
      <c r="AF16" s="595">
        <f>IF(ISNUMBER(IF(D_I="SI",Datos!L16,Datos!L16+Datos!AF16)),IF(D_I="SI",Datos!L16,Datos!L16+Datos!AF16)," - ")</f>
        <v>2787</v>
      </c>
      <c r="AG16" s="333"/>
      <c r="AH16" s="333"/>
      <c r="AI16" s="333"/>
      <c r="AJ16" s="333"/>
      <c r="AK16" s="333"/>
      <c r="AL16" s="478"/>
      <c r="AM16" s="334">
        <f>IF(ISNUMBER(Datos!R16),Datos!R16," - ")</f>
        <v>303</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189</v>
      </c>
      <c r="BD16" s="228">
        <f>IF(ISNUMBER(Datos!N16),Datos!N16," - ")</f>
        <v>1090</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0.88774987186058429</v>
      </c>
      <c r="BH16" s="259">
        <f>IF(ISNUMBER(((IF(D_I="SI",Datos!L16/Datos!K16,(Datos!L16+Datos!AF16)/(Datos!K16+Datos!AE16)))*11)/factor_trimestre),((IF(D_I="SI",Datos!L16/Datos!K16,(Datos!L16+Datos!AF16)/(Datos!K16+Datos!AE16)))*11)/factor_trimestre," - ")</f>
        <v>3.2182448036951503</v>
      </c>
      <c r="BI16" s="242">
        <f>IF(ISNUMBER('Resol  Asuntos'!D16/NºAsuntos!G16),'Resol  Asuntos'!D16/NºAsuntos!G16," - ")</f>
        <v>0.10912240184757506</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187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134</v>
      </c>
      <c r="AC17" s="225">
        <f>IF(ISNUMBER(Datos!Q17),Datos!Q17," - ")</f>
        <v>0</v>
      </c>
      <c r="AD17" s="333"/>
      <c r="AE17" s="483"/>
      <c r="AF17" s="331">
        <f>IF(ISNUMBER(Datos!L17),Datos!L17,"-")</f>
        <v>184</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9</v>
      </c>
      <c r="BD17" s="228">
        <f>IF(ISNUMBER(Datos!N17),Datos!N17," - ")</f>
        <v>86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1.0229007633587786</v>
      </c>
      <c r="BH17" s="259">
        <f>IF(ISNUMBER(((IF(D_I="SI",Datos!L17/Datos!K17,(Datos!L17+Datos!AF17)/(Datos!K17+Datos!AE17)))*11)/factor_trimestre),((IF(D_I="SI",Datos!L17/Datos!K17,(Datos!L17+Datos!AF17)/(Datos!K17+Datos!AE17)))*11)/factor_trimestre," - ")</f>
        <v>2.7462686567164178</v>
      </c>
      <c r="BI17" s="242">
        <f>IF(ISNUMBER('Resol  Asuntos'!D17/NºAsuntos!G17),'Resol  Asuntos'!D17/NºAsuntos!G17," - ")</f>
        <v>6.7164179104477612E-2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8</v>
      </c>
      <c r="F18" s="897">
        <f>SUBTOTAL(9,F15:F17)</f>
        <v>2568</v>
      </c>
      <c r="G18" s="897">
        <f>SUBTOTAL(9,G15:G17)</f>
        <v>2710</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44</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1866</v>
      </c>
      <c r="AC18" s="898">
        <f t="shared" si="4"/>
        <v>138</v>
      </c>
      <c r="AD18" s="898">
        <f t="shared" si="4"/>
        <v>0</v>
      </c>
      <c r="AE18" s="898">
        <f t="shared" si="4"/>
        <v>0</v>
      </c>
      <c r="AF18" s="898">
        <f t="shared" si="4"/>
        <v>2971</v>
      </c>
      <c r="AG18" s="898">
        <f t="shared" si="4"/>
        <v>0</v>
      </c>
      <c r="AH18" s="898">
        <f t="shared" si="4"/>
        <v>0</v>
      </c>
      <c r="AI18" s="898">
        <f t="shared" si="4"/>
        <v>0</v>
      </c>
      <c r="AJ18" s="898">
        <f t="shared" si="4"/>
        <v>0</v>
      </c>
      <c r="AK18" s="898">
        <f t="shared" si="4"/>
        <v>0</v>
      </c>
      <c r="AL18" s="898">
        <f t="shared" si="4"/>
        <v>0</v>
      </c>
      <c r="AM18" s="898">
        <f t="shared" si="4"/>
        <v>303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198</v>
      </c>
      <c r="BD18" s="898">
        <f t="shared" si="4"/>
        <v>1176</v>
      </c>
      <c r="BE18" s="898">
        <f t="shared" si="4"/>
        <v>0</v>
      </c>
      <c r="BF18" s="898">
        <f t="shared" si="4"/>
        <v>0</v>
      </c>
      <c r="BG18" s="898">
        <f>IF(ISNUMBER(Datos!K18/Datos!J18),Datos!K18/Datos!J18," - ")</f>
        <v>0.89625360230547546</v>
      </c>
      <c r="BH18" s="902">
        <f>IF(ISNUMBER(((Datos!L18/Datos!K18)*11)/factor_trimestre),((Datos!L18/Datos!K18)*11)/factor_trimestre," - ")</f>
        <v>3.1843515541264735</v>
      </c>
      <c r="BI18" s="898">
        <f>SUBTOTAL(9,BI15:BI17)</f>
        <v>0.17628658095205268</v>
      </c>
      <c r="BJ18" s="898">
        <f>SUBTOTAL(9,BJ15:BJ17)</f>
        <v>0</v>
      </c>
      <c r="BK18" s="898">
        <f>SUBTOTAL(9,BK15:BK17)</f>
        <v>0</v>
      </c>
      <c r="BL18" s="898">
        <f>IF(ISNUMBER((I18-AB18+L18)/(F18)),(I18-AB18+L18)/(F18)," - ")</f>
        <v>-0.72663551401869164</v>
      </c>
      <c r="BM18" s="904">
        <f>IF(ISNUMBER((Datos!P18-Datos!Q18)/(Datos!R18-Datos!P18+Datos!Q18)),(Datos!P18-Datos!Q18)/(Datos!R18-Datos!P18+Datos!Q18)," - ")</f>
        <v>-0.23677581863979849</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16</v>
      </c>
      <c r="F19" s="819">
        <f t="shared" si="6"/>
        <v>2657</v>
      </c>
      <c r="G19" s="819">
        <f t="shared" si="6"/>
        <v>2799</v>
      </c>
      <c r="H19" s="821">
        <f t="shared" si="6"/>
        <v>0</v>
      </c>
      <c r="I19" s="819">
        <f t="shared" si="6"/>
        <v>0</v>
      </c>
      <c r="J19" s="821">
        <f t="shared" si="6"/>
        <v>0</v>
      </c>
      <c r="K19" s="821">
        <f t="shared" si="6"/>
        <v>0</v>
      </c>
      <c r="L19" s="880">
        <f t="shared" si="6"/>
        <v>0</v>
      </c>
      <c r="M19" s="880">
        <f t="shared" si="6"/>
        <v>0</v>
      </c>
      <c r="N19" s="880">
        <f t="shared" si="6"/>
        <v>284</v>
      </c>
      <c r="O19" s="880">
        <f t="shared" si="6"/>
        <v>0</v>
      </c>
      <c r="P19" s="880">
        <f t="shared" si="6"/>
        <v>0</v>
      </c>
      <c r="Q19" s="821">
        <f t="shared" si="6"/>
        <v>565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1893</v>
      </c>
      <c r="AC19" s="820">
        <f t="shared" si="7"/>
        <v>614</v>
      </c>
      <c r="AD19" s="820">
        <f t="shared" si="7"/>
        <v>0</v>
      </c>
      <c r="AE19" s="820">
        <f t="shared" si="7"/>
        <v>0</v>
      </c>
      <c r="AF19" s="827">
        <f t="shared" si="7"/>
        <v>3061</v>
      </c>
      <c r="AG19" s="827">
        <f t="shared" si="7"/>
        <v>0</v>
      </c>
      <c r="AH19" s="827">
        <f t="shared" si="7"/>
        <v>265</v>
      </c>
      <c r="AI19" s="827">
        <f t="shared" si="7"/>
        <v>0</v>
      </c>
      <c r="AJ19" s="820">
        <f t="shared" si="7"/>
        <v>0</v>
      </c>
      <c r="AK19" s="827">
        <f t="shared" si="7"/>
        <v>0</v>
      </c>
      <c r="AL19" s="827">
        <f t="shared" si="7"/>
        <v>0</v>
      </c>
      <c r="AM19" s="827">
        <f t="shared" si="7"/>
        <v>9308</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487</v>
      </c>
      <c r="BD19" s="819">
        <f t="shared" si="7"/>
        <v>2299</v>
      </c>
      <c r="BE19" s="819">
        <f t="shared" si="7"/>
        <v>0</v>
      </c>
      <c r="BF19" s="829">
        <f t="shared" si="7"/>
        <v>0</v>
      </c>
      <c r="BG19" s="914">
        <f>IF(ISNUMBER(Datos!K19/Datos!J19),Datos!K19/Datos!J19," - ")</f>
        <v>1.0615478366849482</v>
      </c>
      <c r="BH19" s="914">
        <f>IF(ISNUMBER(((Datos!L19/Datos!K19)*11)/factor_trimestre),((Datos!L19/Datos!K19)*11)/factor_trimestre," - ")</f>
        <v>5.894948335246843</v>
      </c>
      <c r="BI19" s="812">
        <f>IF(ISNUMBER(Datos!J19/Datos!I19),Datos!J19/Datos!I19," - ")</f>
        <v>0.31448830969720198</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-0.71245765901392544</v>
      </c>
      <c r="BM19" s="888">
        <f>IF(ISNUMBER((Datos!P19-Datos!Q19+R19)/(Datos!R19-Datos!P19+Datos!Q19-R19)),(Datos!P19-Datos!Q19+R19)/(Datos!R19-Datos!P19+Datos!Q19-R19)," - ")</f>
        <v>-5.2367211713155925E-3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1119.5999999999999</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4.2163702135578394</v>
      </c>
      <c r="F21" s="550">
        <f>IF(ISNUMBER(STDEV(F8:F18)),STDEV(F8:F18),"-")</f>
        <v>1431.2513173210823</v>
      </c>
      <c r="G21" s="551">
        <f>IF(ISNUMBER(STDEV(G8:G18)),STDEV(G8:G18),"-")</f>
        <v>1368.6598554790742</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953.20968312328841</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123.47901306159955</v>
      </c>
      <c r="BD21" s="550"/>
      <c r="BE21" s="550">
        <f>IF(ISNUMBER(STDEV(BE8:BE18)),STDEV(BE8:BE18),"-")</f>
        <v>0</v>
      </c>
      <c r="BF21" s="555">
        <f>IF(ISNUMBER(STDEV(BF8:BF18)),STDEV(BF8:BF18),"-")</f>
        <v>0</v>
      </c>
      <c r="BG21" s="774">
        <f>IF(ISNUMBER(STDEV(BG8:BG18)),STDEV(BG8:BG18),"-")</f>
        <v>0.19616427358089442</v>
      </c>
      <c r="BH21" s="775">
        <f>IF(ISNUMBER(STDEV(BH8:BH18)),STDEV(BH8:BH18),"-")</f>
        <v>2.7827995941021286</v>
      </c>
      <c r="BI21" s="248">
        <f>IF(ISNUMBER(STDEV(BI8:BI18)),STDEV(BI8:BI18),"-")</f>
        <v>4.8606100086164873E-2</v>
      </c>
      <c r="BJ21" s="229" t="str">
        <f>IF(ISNUMBER(BL21/BM21),BL21/BM21," - ")</f>
        <v xml:space="preserve"> - </v>
      </c>
      <c r="BK21" s="574"/>
      <c r="BL21" s="558">
        <f>IF(ISNUMBER(STDEV(BL8:BL18)),STDEV(BL8:BL18),"-")</f>
        <v>0.2992933590536257</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xj2qeffuxHwbvvdRXdOqawdmU6Is0PNzUAvgH6Es/BWmuKhU+zUXMg4fUqTNP3sWHHwPXG8eTQrn8kcyblwW6Q==" saltValue="rrucHPwFRP+WP5gDGQ2xc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NAVALCARNERO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89</v>
      </c>
      <c r="G10" s="224">
        <f>IF(ISNUMBER(Datos!I10),Datos!I10," - ")</f>
        <v>89</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3</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27</v>
      </c>
      <c r="Z10" s="618">
        <f>IF(ISNUMBER(Datos!Q10),Datos!Q10," - ")</f>
        <v>9</v>
      </c>
      <c r="AA10" s="331">
        <f>IF(ISNUMBER(Datos!L10),Datos!L10,"-")</f>
        <v>90</v>
      </c>
      <c r="AB10" s="333"/>
      <c r="AC10" s="333"/>
      <c r="AD10" s="483"/>
      <c r="AE10" s="483">
        <f>IF(ISNUMBER(Datos!R10),Datos!R10," - ")</f>
        <v>50</v>
      </c>
      <c r="AF10" s="228" t="str">
        <f>IF(ISNUMBER(Datos!BV10),Datos!BV10," - ")</f>
        <v xml:space="preserve"> - </v>
      </c>
      <c r="AG10" s="224" t="str">
        <f>IF(ISNUMBER(Datos!DV10),Datos!DV10," - ")</f>
        <v xml:space="preserve"> - </v>
      </c>
      <c r="AH10" s="297"/>
      <c r="AI10" s="226"/>
      <c r="AJ10" s="224">
        <f>IF(ISNUMBER(Datos!M10),Datos!M10," - ")</f>
        <v>14</v>
      </c>
      <c r="AK10" s="228">
        <f>IF(ISNUMBER(Datos!N10),Datos!N10," - ")</f>
        <v>17</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6.6666666666666679</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-0.10714285714285714</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518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467</v>
      </c>
      <c r="AA12" s="331" t="str">
        <f>IF(ISNUMBER(IF(J_V="SI",Datos!L12,Datos!L12+Datos!AB12)-IF(Monitorios="SI",Datos!CD12,0)),
                          IF(J_V="SI",Datos!L12,Datos!L12+Datos!AB12)-IF(Monitorios="SI",Datos!CD12,0),
                          " - ")</f>
        <v xml:space="preserve"> - </v>
      </c>
      <c r="AB12" s="333"/>
      <c r="AC12" s="333"/>
      <c r="AD12" s="483"/>
      <c r="AE12" s="483">
        <f>IF(ISNUMBER(Datos!R12),Datos!R12," - ")</f>
        <v>8955</v>
      </c>
      <c r="AF12" s="228" t="str">
        <f>IF(ISNUMBER(Datos!BV12),Datos!BV12," - ")</f>
        <v xml:space="preserve"> - </v>
      </c>
      <c r="AG12" s="224" t="str">
        <f>IF(ISNUMBER(Datos!DV12),Datos!DV12," - ")</f>
        <v xml:space="preserve"> - </v>
      </c>
      <c r="AH12" s="297"/>
      <c r="AI12" s="226"/>
      <c r="AJ12" s="224">
        <f>IF(ISNUMBER(Datos!M12),Datos!M12," - ")</f>
        <v>275</v>
      </c>
      <c r="AK12" s="228">
        <f>IF(ISNUMBER(Datos!N12),Datos!N12," - ")</f>
        <v>1106</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8.1096039066739021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5.7277628032345014E-3</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8</v>
      </c>
      <c r="F13" s="897">
        <f>SUBTOTAL(9,F8:F12)</f>
        <v>89</v>
      </c>
      <c r="G13" s="897">
        <f>SUBTOTAL(9,G8:G12)</f>
        <v>89</v>
      </c>
      <c r="H13" s="907"/>
      <c r="I13" s="897">
        <f t="shared" ref="I13:N13" si="0">SUBTOTAL(9,I8:I12)</f>
        <v>0</v>
      </c>
      <c r="J13" s="866">
        <f t="shared" si="0"/>
        <v>0</v>
      </c>
      <c r="K13" s="907">
        <f t="shared" si="0"/>
        <v>0</v>
      </c>
      <c r="L13" s="907">
        <f t="shared" si="0"/>
        <v>0</v>
      </c>
      <c r="M13" s="907">
        <f t="shared" si="0"/>
        <v>0</v>
      </c>
      <c r="N13" s="907">
        <f t="shared" si="0"/>
        <v>521</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27</v>
      </c>
      <c r="Z13" s="906">
        <f t="shared" si="2"/>
        <v>476</v>
      </c>
      <c r="AA13" s="899">
        <f t="shared" si="2"/>
        <v>90</v>
      </c>
      <c r="AB13" s="899">
        <f t="shared" si="2"/>
        <v>0</v>
      </c>
      <c r="AC13" s="899">
        <f t="shared" si="2"/>
        <v>0</v>
      </c>
      <c r="AD13" s="899">
        <f t="shared" si="2"/>
        <v>0</v>
      </c>
      <c r="AE13" s="899">
        <f t="shared" si="2"/>
        <v>9005</v>
      </c>
      <c r="AF13" s="907">
        <f t="shared" si="2"/>
        <v>0</v>
      </c>
      <c r="AG13" s="907">
        <f t="shared" si="2"/>
        <v>0</v>
      </c>
      <c r="AH13" s="907">
        <f t="shared" si="2"/>
        <v>0</v>
      </c>
      <c r="AI13" s="907">
        <f t="shared" si="2"/>
        <v>0</v>
      </c>
      <c r="AJ13" s="907">
        <f t="shared" si="2"/>
        <v>289</v>
      </c>
      <c r="AK13" s="907">
        <f t="shared" si="2"/>
        <v>1123</v>
      </c>
      <c r="AL13" s="907">
        <f t="shared" si="2"/>
        <v>0</v>
      </c>
      <c r="AM13" s="907">
        <f t="shared" si="2"/>
        <v>0</v>
      </c>
      <c r="AN13" s="907">
        <f t="shared" si="2"/>
        <v>0</v>
      </c>
      <c r="AO13" s="903">
        <f>IF(ISNUMBER(((NºAsuntos!I13/NºAsuntos!G13)*11)/factor_trimestre),((NºAsuntos!I13/NºAsuntos!G13)*11)/factor_trimestre," - ")</f>
        <v>8.088770053475935</v>
      </c>
      <c r="AP13" s="909" t="str">
        <f>IF(ISNUMBER(Datos!CI13/Datos!CJ13),Datos!CI13/Datos!CJ13," - ")</f>
        <v xml:space="preserve"> - </v>
      </c>
      <c r="AQ13" s="927">
        <f t="shared" ref="AQ13:AV13" si="3">SUBTOTAL(9,AQ9:AQ12)</f>
        <v>0</v>
      </c>
      <c r="AR13" s="927">
        <f t="shared" si="3"/>
        <v>-0.10141509433962263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2568</v>
      </c>
      <c r="G16" s="224">
        <f>IF(ISNUMBER(IF(D_I="SI",Datos!I16,Datos!I16+Datos!AC16)),IF(D_I="SI",Datos!I16,Datos!I16+Datos!AC16)," - ")</f>
        <v>2523</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44</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1732</v>
      </c>
      <c r="Z16" s="618">
        <f>IF(ISNUMBER(Datos!Q16),Datos!Q16," - ")</f>
        <v>138</v>
      </c>
      <c r="AA16" s="331">
        <f>IF(ISNUMBER(IF(D_I="SI",Datos!L16,Datos!L16+Datos!AF16)),IF(D_I="SI",Datos!L16,Datos!L16+Datos!AF16)," - ")</f>
        <v>2787</v>
      </c>
      <c r="AB16" s="333"/>
      <c r="AC16" s="333"/>
      <c r="AD16" s="483"/>
      <c r="AE16" s="483">
        <f>IF(ISNUMBER(Datos!R16),Datos!R16," - ")</f>
        <v>303</v>
      </c>
      <c r="AF16" s="228" t="str">
        <f>IF(ISNUMBER(Datos!BV16),Datos!BV16," - ")</f>
        <v xml:space="preserve"> - </v>
      </c>
      <c r="AG16" s="224"/>
      <c r="AH16" s="297"/>
      <c r="AI16" s="226"/>
      <c r="AJ16" s="224">
        <f>IF(ISNUMBER(Datos!M16),Datos!M16," - ")</f>
        <v>189</v>
      </c>
      <c r="AK16" s="228">
        <f>IF(ISNUMBER(Datos!N16),Datos!N16," - ")</f>
        <v>1090</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3.2182448036951503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187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134</v>
      </c>
      <c r="Z17" s="618">
        <f>IF(ISNUMBER(Datos!Q17),Datos!Q17," - ")</f>
        <v>0</v>
      </c>
      <c r="AA17" s="331">
        <f>IF(ISNUMBER(Datos!L17),Datos!L17,"-")</f>
        <v>184</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9</v>
      </c>
      <c r="AK17" s="228">
        <f>IF(ISNUMBER(Datos!N17),Datos!N17," - ")</f>
        <v>86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2.7462686567164178</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8</v>
      </c>
      <c r="F18" s="897">
        <f>SUBTOTAL(9,F15:F17)</f>
        <v>2568</v>
      </c>
      <c r="G18" s="897">
        <f>SUBTOTAL(9,G15:G17)</f>
        <v>2710</v>
      </c>
      <c r="H18" s="931">
        <f>SUBTOTAL(9,H15:H17)</f>
        <v>0</v>
      </c>
      <c r="I18" s="910">
        <f>SUBTOTAL(9,I15:I17)</f>
        <v>0</v>
      </c>
      <c r="J18" s="866">
        <f>SUBTOTAL(9,J14:J17)</f>
        <v>0</v>
      </c>
      <c r="K18" s="931">
        <f t="shared" ref="K18:S18" si="4">SUBTOTAL(9,K15:K17)</f>
        <v>0</v>
      </c>
      <c r="L18" s="931">
        <f t="shared" si="4"/>
        <v>0</v>
      </c>
      <c r="M18" s="931">
        <f t="shared" si="4"/>
        <v>0</v>
      </c>
      <c r="N18" s="931">
        <f t="shared" si="4"/>
        <v>44</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1866</v>
      </c>
      <c r="Z18" s="931">
        <f t="shared" si="5"/>
        <v>138</v>
      </c>
      <c r="AA18" s="931">
        <f t="shared" si="5"/>
        <v>2971</v>
      </c>
      <c r="AB18" s="931">
        <f t="shared" si="5"/>
        <v>0</v>
      </c>
      <c r="AC18" s="931">
        <f t="shared" si="5"/>
        <v>0</v>
      </c>
      <c r="AD18" s="931">
        <f t="shared" si="5"/>
        <v>0</v>
      </c>
      <c r="AE18" s="931">
        <f t="shared" si="5"/>
        <v>303</v>
      </c>
      <c r="AF18" s="931">
        <f t="shared" si="5"/>
        <v>0</v>
      </c>
      <c r="AG18" s="931">
        <f t="shared" si="5"/>
        <v>0</v>
      </c>
      <c r="AH18" s="931">
        <f t="shared" si="5"/>
        <v>0</v>
      </c>
      <c r="AI18" s="931">
        <f t="shared" si="5"/>
        <v>0</v>
      </c>
      <c r="AJ18" s="931">
        <f t="shared" si="5"/>
        <v>198</v>
      </c>
      <c r="AK18" s="931">
        <f t="shared" si="5"/>
        <v>1176</v>
      </c>
      <c r="AL18" s="931">
        <f t="shared" si="5"/>
        <v>0</v>
      </c>
      <c r="AM18" s="931">
        <f t="shared" si="5"/>
        <v>0</v>
      </c>
      <c r="AN18" s="931">
        <f t="shared" si="5"/>
        <v>0</v>
      </c>
      <c r="AO18" s="933">
        <f>IF(ISNUMBER(((NºAsuntos!I18/NºAsuntos!G18)*11)/factor_trimestre),((NºAsuntos!I18/NºAsuntos!G18)*11)/factor_trimestre," - ")</f>
        <v>3.1843515541264735</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2657</v>
      </c>
      <c r="G19" s="819">
        <f t="shared" si="7"/>
        <v>2799</v>
      </c>
      <c r="H19" s="820">
        <f t="shared" si="7"/>
        <v>0</v>
      </c>
      <c r="I19" s="819">
        <f t="shared" si="7"/>
        <v>0</v>
      </c>
      <c r="J19" s="821">
        <f t="shared" si="7"/>
        <v>0</v>
      </c>
      <c r="K19" s="819">
        <f t="shared" si="7"/>
        <v>0</v>
      </c>
      <c r="L19" s="822">
        <f t="shared" si="7"/>
        <v>0</v>
      </c>
      <c r="M19" s="819">
        <f t="shared" si="7"/>
        <v>0</v>
      </c>
      <c r="N19" s="820">
        <f t="shared" si="7"/>
        <v>565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1893</v>
      </c>
      <c r="Z19" s="826">
        <f t="shared" si="8"/>
        <v>614</v>
      </c>
      <c r="AA19" s="827">
        <f t="shared" si="8"/>
        <v>3061</v>
      </c>
      <c r="AB19" s="827">
        <f t="shared" si="8"/>
        <v>0</v>
      </c>
      <c r="AC19" s="827">
        <f t="shared" si="8"/>
        <v>0</v>
      </c>
      <c r="AD19" s="828">
        <f t="shared" si="8"/>
        <v>0</v>
      </c>
      <c r="AE19" s="828">
        <f t="shared" si="8"/>
        <v>9308</v>
      </c>
      <c r="AF19" s="829">
        <f t="shared" si="8"/>
        <v>0</v>
      </c>
      <c r="AG19" s="830">
        <f t="shared" si="8"/>
        <v>0</v>
      </c>
      <c r="AH19" s="831">
        <f t="shared" si="8"/>
        <v>0</v>
      </c>
      <c r="AI19" s="829">
        <f t="shared" si="8"/>
        <v>0</v>
      </c>
      <c r="AJ19" s="819">
        <f t="shared" si="8"/>
        <v>487</v>
      </c>
      <c r="AK19" s="819">
        <f t="shared" si="8"/>
        <v>2299</v>
      </c>
      <c r="AL19" s="819">
        <f t="shared" si="8"/>
        <v>0</v>
      </c>
      <c r="AM19" s="832">
        <f t="shared" si="8"/>
        <v>0</v>
      </c>
      <c r="AN19" s="822">
        <f>IF(ISNUMBER(Datos!K19/Datos!J19),Datos!K19/Datos!J19," - ")</f>
        <v>1.0615478366849482</v>
      </c>
      <c r="AO19" s="822">
        <f>IF(ISNUMBER(FIND("06",Criterios!A8,1)),(IF(ISNUMBER(((Datos!R19/Datos!Q19)*11)/factor_trimestre),((Datos!R19/Datos!Q19)*11)/factor_trimestre," - ")),(IF(ISNUMBER(((Datos!L19/Datos!K19)*11)/factor_trimestre),((Datos!L19/Datos!K19)*11)/factor_trimestre," - ")))</f>
        <v>5.894948335246843</v>
      </c>
      <c r="AP19" s="833" t="str">
        <f>IF(ISNUMBER(Datos!CI19/Datos!CJ19),Datos!CI19/Datos!CJ19," - ")</f>
        <v xml:space="preserve"> - </v>
      </c>
      <c r="AQ19" s="833">
        <f>IF(OR(ISNUMBER(FIND("01",Criterios!A8,1)),ISNUMBER(FIND("02",Criterios!A8,1)),ISNUMBER(FIND("03",Criterios!A8,1)),ISNUMBER(FIND("04",Criterios!A8,1))),(J19-Y19+K19)/(F19-K19),(I19-Y19+K19)/(F19-K19))</f>
        <v>-0.71245765901392544</v>
      </c>
      <c r="AR19" s="833">
        <f>IF(ISNUMBER((Datos!P19-Datos!Q19+O19)/(Datos!R19-Datos!P19+Datos!Q19-O19)),(Datos!P19-Datos!Q19+O19)/(Datos!R19-Datos!P19+Datos!Q19-O19)," - ")</f>
        <v>-5.2367211713155925E-3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1119.5999999999999</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1431.2513173210823</v>
      </c>
      <c r="G21" s="551">
        <f>IF(ISNUMBER(STDEV(G8:G18)),STDEV(G8:G18),"-")</f>
        <v>1368.6598554790742</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123.47901306159955</v>
      </c>
      <c r="AK21" s="251"/>
      <c r="AL21" s="251">
        <f>IF(ISNUMBER(STDEV(AL8:AL18)),STDEV(AL8:AL18),"-")</f>
        <v>0</v>
      </c>
      <c r="AM21" s="253">
        <f>IF(ISNUMBER(STDEV(AM8:AM18)),STDEV(AM8:AM18),"-")</f>
        <v>0</v>
      </c>
      <c r="AN21" s="538">
        <f>IF(ISNUMBER(STDEV(AN8:AN18)),STDEV(AN8:AN18),"-")</f>
        <v>0</v>
      </c>
      <c r="AO21" s="539">
        <f>IF(ISNUMBER(STDEV(AO8:AO18)),STDEV(AO8:AO18),"-")</f>
        <v>2.5636880146243826</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lQpYEbiVz9j027EAy0ZSXhXLPaDPUwS5AenqUhIWygemyL/j+98fH9mssqZUiVmQskkYolxTgq+csOG0uMxZ6g==" saltValue="/g7pXILrJHCH2Xyh98XrQ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aRgfYm0Bp3LxrK4iS6Qhy/u0R57UzLW6tTBjK0N0hFiRN4Xwfl5BjrL1ecqKxBBlZc+0aiwn/GB3wPINax/TvQ==" saltValue="SNrY2XLNdD6E6SMDQqtKg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LAOaeTadzziG3xzTq/IZGdk5al2gQ4PRJbheWHRnn8D/g0xOjCsYjPva7lo8oFXVLAYjnBONecLeXc0g3HdKcA==" saltValue="VylcNAZOcYnrfeIExvkQa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NAVALCARNERO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0.15454545454545454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0.10928013891064825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lSeCV153Sm6aoBgIme06eFHODIAXX4PnnI/NLPVecD0eva2lekvFNd2URP+Rk9H3nFqSdnEyHTKqEj41bc7QsA==" saltValue="7vIrFU5aNjNwA6VLAxksc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KFhhMeXQp1+y2fSq/RYIOerKDbNioizc1qW9WDvPZ8dIuDzgl1fIOe/FKm7B4NtKbtx8bi3dgKY2wfab1pA7PQ==" saltValue="NzepTc0Xc4nRlfzJRvFFN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NAVALCARNERO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89</v>
      </c>
      <c r="D10" s="403">
        <f>IF(ISNUMBER(C10/Datos!BH10),C10/Datos!BH10," - ")</f>
        <v>89</v>
      </c>
      <c r="E10" s="402">
        <f>IF(ISNUMBER(Datos!J10),Datos!J10," - ")</f>
        <v>28</v>
      </c>
      <c r="F10" s="403">
        <f>IF(ISNUMBER(E10/B10),E10/B10," - ")</f>
        <v>28</v>
      </c>
      <c r="G10" s="402">
        <f>IF(ISNUMBER(Datos!K10),Datos!K10," - ")</f>
        <v>27</v>
      </c>
      <c r="H10" s="403">
        <f>IF(ISNUMBER(G10/B10),G10/B10," - ")</f>
        <v>27</v>
      </c>
      <c r="I10" s="402">
        <f>IF(ISNUMBER(Datos!L10),Datos!L10," - ")</f>
        <v>90</v>
      </c>
      <c r="J10" s="403">
        <f>IF(ISNUMBER(I10/B10),I10/B10," - ")</f>
        <v>90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7870</v>
      </c>
      <c r="D12" s="403">
        <f>IF(ISNUMBER(C12/Datos!BH12),C12/Datos!BH12," - ")</f>
        <v>983.75</v>
      </c>
      <c r="E12" s="402">
        <f>IF(ISNUMBER(IF(J_V="SI",Datos!J12,Datos!J12+Datos!Z12)),IF(J_V="SI",Datos!J12,Datos!J12+Datos!Z12)," - ")</f>
        <v>1456</v>
      </c>
      <c r="F12" s="403">
        <f>IF(ISNUMBER(E12/B12),E12/B12," - ")</f>
        <v>182</v>
      </c>
      <c r="G12" s="402">
        <f>IF(ISNUMBER(IF(J_V="SI",Datos!K12,Datos!K12+Datos!AA12)),IF(J_V="SI",Datos!K12,Datos!K12+Datos!AA12)," - ")</f>
        <v>1843</v>
      </c>
      <c r="H12" s="403">
        <f>IF(ISNUMBER(G12/B12),G12/B12," - ")</f>
        <v>230.375</v>
      </c>
      <c r="I12" s="402">
        <f>IF(ISNUMBER(IF(J_V="SI",Datos!L12,Datos!L12+Datos!AB12)),IF(J_V="SI",Datos!L12,Datos!L12+Datos!AB12)," - ")</f>
        <v>7473</v>
      </c>
      <c r="J12" s="403">
        <f>IF(ISNUMBER(I12/B12),I12/B12," - ")</f>
        <v>934.125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7959</v>
      </c>
      <c r="D13" s="849" t="str">
        <f>IF(ISNUMBER(C13/Datos!BI13),C13/Datos!BI13," - ")</f>
        <v xml:space="preserve"> - </v>
      </c>
      <c r="E13" s="848">
        <f>SUBTOTAL(9,E8:E12)</f>
        <v>1484</v>
      </c>
      <c r="F13" s="849">
        <f>IF(ISNUMBER(E13/B13),E13/B13," - ")</f>
        <v>185.5</v>
      </c>
      <c r="G13" s="848">
        <f>SUBTOTAL(9,G8:G12)</f>
        <v>1870</v>
      </c>
      <c r="H13" s="849">
        <f>IF(ISNUMBER(G13/B13),G13/B13," - ")</f>
        <v>233.75</v>
      </c>
      <c r="I13" s="848">
        <f>SUBTOTAL(9,I8:I12)</f>
        <v>7563</v>
      </c>
      <c r="J13" s="849">
        <f>IF(ISNUMBER(I13/B13),I13/B13," - ")</f>
        <v>945.375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2523</v>
      </c>
      <c r="D16" s="403">
        <f>IF(ISNUMBER(C16/Datos!BH16),C16/Datos!BH16," - ")</f>
        <v>315.375</v>
      </c>
      <c r="E16" s="402">
        <f>IF(ISNUMBER(IF(D_I="SI",Datos!J16,Datos!J16+Datos!AD16)),IF(D_I="SI",Datos!J16,Datos!J16+Datos!AD16)," - ")</f>
        <v>1951</v>
      </c>
      <c r="F16" s="403">
        <f>IF(ISNUMBER(E16/B16),E16/B16," - ")</f>
        <v>243.875</v>
      </c>
      <c r="G16" s="402">
        <f>IF(ISNUMBER(IF(D_I="SI",Datos!K16,Datos!K16+Datos!AE16)),IF(D_I="SI",Datos!K16,Datos!K16+Datos!AE16)," - ")</f>
        <v>1732</v>
      </c>
      <c r="H16" s="403">
        <f>IF(ISNUMBER(G16/B16),G16/B16," - ")</f>
        <v>216.5</v>
      </c>
      <c r="I16" s="402">
        <f>IF(ISNUMBER(IF(D_I="SI",Datos!L16,Datos!L16+Datos!AF16)),IF(D_I="SI",Datos!L16,Datos!L16+Datos!AF16)," - ")</f>
        <v>2787</v>
      </c>
      <c r="J16" s="403">
        <f>IF(ISNUMBER(I16/B16),I16/B16," - ")</f>
        <v>348.375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187</v>
      </c>
      <c r="D17" s="403">
        <f>IF(ISNUMBER(C17/Datos!BH17),C17/Datos!BH17," - ")</f>
        <v>187</v>
      </c>
      <c r="E17" s="402">
        <f>IF(ISNUMBER(IF(D_I="SI",Datos!J17,Datos!J17+Datos!AD17)),IF(D_I="SI",Datos!J17,Datos!J17+Datos!AD17)," - ")</f>
        <v>131</v>
      </c>
      <c r="F17" s="403">
        <f>IF(ISNUMBER(E17/B17),E17/B17," - ")</f>
        <v>131</v>
      </c>
      <c r="G17" s="402">
        <f>IF(ISNUMBER(IF(D_I="SI",Datos!K17,Datos!K17+Datos!AE17)),IF(D_I="SI",Datos!K17,Datos!K17+Datos!AE17)," - ")</f>
        <v>134</v>
      </c>
      <c r="H17" s="403">
        <f>IF(ISNUMBER(G17/B17),G17/B17," - ")</f>
        <v>134</v>
      </c>
      <c r="I17" s="402">
        <f>IF(ISNUMBER(IF(D_I="SI",Datos!L17,Datos!L17+Datos!AF17)),IF(D_I="SI",Datos!L17,Datos!L17+Datos!AF17)," - ")</f>
        <v>184</v>
      </c>
      <c r="J17" s="403">
        <f>IF(ISNUMBER(I17/B17),I17/B17," - ")</f>
        <v>184</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2710</v>
      </c>
      <c r="D18" s="849" t="str">
        <f>IF(ISNUMBER(C18/Datos!BI18),C18/Datos!BI18," - ")</f>
        <v xml:space="preserve"> - </v>
      </c>
      <c r="E18" s="848">
        <f>SUBTOTAL(9,E14:E17)</f>
        <v>2082</v>
      </c>
      <c r="F18" s="849">
        <f>IF(ISNUMBER(E18/B18),E18/B18," - ")</f>
        <v>260.25</v>
      </c>
      <c r="G18" s="848">
        <f>SUBTOTAL(9,G14:G17)</f>
        <v>1866</v>
      </c>
      <c r="H18" s="849">
        <f>IF(ISNUMBER(G18/B18),G18/B18," - ")</f>
        <v>233.25</v>
      </c>
      <c r="I18" s="848">
        <f>SUBTOTAL(9,I14:I17)</f>
        <v>2971</v>
      </c>
      <c r="J18" s="849">
        <f>IF(ISNUMBER(I18/B18),I18/B18," - ")</f>
        <v>371.375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10669</v>
      </c>
      <c r="D19" s="794" t="str">
        <f>IF(ISNUMBER(C19/Datos!BI19),C19/Datos!BI19," - ")</f>
        <v xml:space="preserve"> - </v>
      </c>
      <c r="E19" s="793">
        <f>SUBTOTAL(9,E9:E18)</f>
        <v>3566</v>
      </c>
      <c r="F19" s="794">
        <f>IF(ISNUMBER(E19/B19),E19/B19," - ")</f>
        <v>445.75</v>
      </c>
      <c r="G19" s="793">
        <f>SUBTOTAL(9,G9:G18)</f>
        <v>3736</v>
      </c>
      <c r="H19" s="794">
        <f>IF(ISNUMBER(G19/B19),G19/B19," - ")</f>
        <v>467</v>
      </c>
      <c r="I19" s="793">
        <f>SUBTOTAL(9,I9:I18)</f>
        <v>10534</v>
      </c>
      <c r="J19" s="794">
        <f>IF(ISNUMBER(I19/B19),I19/B19," - ")</f>
        <v>1316.75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joFN9Sn0qZwG+17swixFnAHVldtaZG7RCfMZQBK8F0zsJX2QuMc5t/59r7fe8I5B5r2xnVoeGRuf0jONiG41Ag==" saltValue="tw0E1NEgkWGZtnUc/PUG/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NAVALCARNERO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89</v>
      </c>
      <c r="G10" s="683">
        <f>IF(ISNUMBER(Datos!I10),Datos!I10," - ")</f>
        <v>89</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3</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27</v>
      </c>
      <c r="AC10" s="682" t="str">
        <f>IF(ISNUMBER(IF(D_I="SI",DatosP!K17,DatosP!K17+DatosP!AE17)),IF(D_I="SI",DatosP!K17,DatosP!K17+DatosP!AE17)," - ")</f>
        <v xml:space="preserve"> - </v>
      </c>
      <c r="AD10" s="684"/>
      <c r="AE10" s="684"/>
      <c r="AF10" s="687">
        <f>IF(ISNUMBER(Datos!L10),Datos!L10,"-")</f>
        <v>90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14</v>
      </c>
      <c r="AM10" s="689">
        <f>IF(ISNUMBER(Datos!N10+DatosP!N17),Datos!N10+DatosP!N17," - ")</f>
        <v>17</v>
      </c>
      <c r="AN10" s="689">
        <f>IF(ISNUMBER(Datos!BW10+DatosP!BW17),Datos!BW10+DatosP!BW17," - ")</f>
        <v>0</v>
      </c>
      <c r="AO10" s="690">
        <f>IF(ISNUMBER(Datos!BX10+DatosP!BX17),Datos!BX10+DatosP!BX17," - ")</f>
        <v>0</v>
      </c>
      <c r="AP10" s="692">
        <f>IF(ISNUMBER(((Datos!L10/Datos!K10)*11)/factor_trimestre),((Datos!L10/Datos!K10)*11)/factor_trimestre," - ")</f>
        <v>6.6666666666666679</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518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467</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8955</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275</v>
      </c>
      <c r="AM12" s="689">
        <f>IF(ISNUMBER(Datos!N12+DatosP!N16),Datos!N12+DatosP!N16," - ")</f>
        <v>1106</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8.1096039066739021</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5.7277628032345014E-3</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89</v>
      </c>
      <c r="G13" s="937">
        <f t="shared" si="0"/>
        <v>89</v>
      </c>
      <c r="H13" s="937">
        <f t="shared" si="0"/>
        <v>0</v>
      </c>
      <c r="I13" s="939">
        <f t="shared" si="0"/>
        <v>0</v>
      </c>
      <c r="J13" s="938">
        <f t="shared" si="0"/>
        <v>0</v>
      </c>
      <c r="K13" s="938">
        <f t="shared" si="0"/>
        <v>0</v>
      </c>
      <c r="L13" s="940">
        <f t="shared" si="0"/>
        <v>0</v>
      </c>
      <c r="M13" s="940">
        <f t="shared" si="0"/>
        <v>0</v>
      </c>
      <c r="N13" s="938">
        <f t="shared" si="0"/>
        <v>521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27</v>
      </c>
      <c r="AC13" s="938">
        <f t="shared" si="1"/>
        <v>0</v>
      </c>
      <c r="AD13" s="938">
        <f t="shared" si="1"/>
        <v>467</v>
      </c>
      <c r="AE13" s="938">
        <f t="shared" si="1"/>
        <v>0</v>
      </c>
      <c r="AF13" s="938">
        <f t="shared" si="1"/>
        <v>90</v>
      </c>
      <c r="AG13" s="938">
        <f t="shared" si="1"/>
        <v>0</v>
      </c>
      <c r="AH13" s="938">
        <f t="shared" si="1"/>
        <v>8955</v>
      </c>
      <c r="AI13" s="938">
        <f t="shared" si="1"/>
        <v>0</v>
      </c>
      <c r="AJ13" s="938">
        <f t="shared" si="1"/>
        <v>0</v>
      </c>
      <c r="AK13" s="938">
        <f t="shared" si="1"/>
        <v>0</v>
      </c>
      <c r="AL13" s="938">
        <f t="shared" si="1"/>
        <v>289</v>
      </c>
      <c r="AM13" s="938">
        <f t="shared" si="1"/>
        <v>1123</v>
      </c>
      <c r="AN13" s="938">
        <f t="shared" si="1"/>
        <v>0</v>
      </c>
      <c r="AO13" s="938">
        <f t="shared" si="1"/>
        <v>0</v>
      </c>
      <c r="AP13" s="943">
        <f>IF(ISNUMBER(((Datos!L13/Datos!K13)*11)/factor_trimestre),((Datos!L13/Datos!K13)*11)/factor_trimestre," - ")</f>
        <v>9.0210135970333738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-0.30337078651685395</v>
      </c>
      <c r="AU13" s="938" t="str">
        <f>IF(ISNUMBER((DatosP!#REF!-DatosP!#REF!+DatosP!#REF!)/(DatosP!#REF!+DatosP!#REF!-DatosP!#REF!-DatosP!#REF!)),(DatosP!#REF!-DatosP!#REF!+DatosP!#REF!)/(DatosP!#REF!+DatosP!#REF!-DatosP!#REF!-DatosP!#REF!)," - ")</f>
        <v xml:space="preserve"> - </v>
      </c>
      <c r="AV13" s="944">
        <f>SUBTOTAL(9,AV9:AV12)</f>
        <v>5.7277628032345014E-3</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3.1843515541264735</v>
      </c>
      <c r="AQ18" s="943">
        <f>IF(ISNUMBER(((Datos!M18/Datos!L18)*11)/factor_trimestre),((Datos!M18/Datos!L18)*11)/factor_trimestre," - ")</f>
        <v>0.13328845506563447</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-0.23677581863979849</v>
      </c>
      <c r="AW18" s="945">
        <f>IF(ISNUMBER((Datos!Q18-Datos!R18)/(Datos!S18-Datos!Q18+Datos!R18)),(Datos!Q18-Datos!R18)/(Datos!S18-Datos!Q18+Datos!R18)," - ")</f>
        <v>-6.1065877128053295E-2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89</v>
      </c>
      <c r="G19" s="950">
        <f t="shared" si="4"/>
        <v>89</v>
      </c>
      <c r="H19" s="950">
        <f t="shared" si="4"/>
        <v>0</v>
      </c>
      <c r="I19" s="951">
        <f t="shared" si="4"/>
        <v>0</v>
      </c>
      <c r="J19" s="952">
        <f t="shared" si="4"/>
        <v>0</v>
      </c>
      <c r="K19" s="952">
        <f t="shared" si="4"/>
        <v>0</v>
      </c>
      <c r="L19" s="952">
        <f t="shared" si="4"/>
        <v>0</v>
      </c>
      <c r="M19" s="952">
        <f t="shared" si="4"/>
        <v>0</v>
      </c>
      <c r="N19" s="951">
        <f t="shared" si="4"/>
        <v>521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27</v>
      </c>
      <c r="AC19" s="956">
        <f t="shared" si="5"/>
        <v>0</v>
      </c>
      <c r="AD19" s="956">
        <f t="shared" si="5"/>
        <v>467</v>
      </c>
      <c r="AE19" s="956">
        <f t="shared" si="5"/>
        <v>0</v>
      </c>
      <c r="AF19" s="957">
        <f t="shared" si="5"/>
        <v>90</v>
      </c>
      <c r="AG19" s="957">
        <f t="shared" si="5"/>
        <v>0</v>
      </c>
      <c r="AH19" s="957">
        <f t="shared" si="5"/>
        <v>8955</v>
      </c>
      <c r="AI19" s="957">
        <f t="shared" si="5"/>
        <v>0</v>
      </c>
      <c r="AJ19" s="958">
        <f t="shared" si="5"/>
        <v>0</v>
      </c>
      <c r="AK19" s="958">
        <f t="shared" si="5"/>
        <v>0</v>
      </c>
      <c r="AL19" s="950">
        <f t="shared" si="5"/>
        <v>289</v>
      </c>
      <c r="AM19" s="950">
        <f t="shared" si="5"/>
        <v>1123</v>
      </c>
      <c r="AN19" s="950">
        <f t="shared" si="5"/>
        <v>0</v>
      </c>
      <c r="AO19" s="950">
        <f t="shared" si="5"/>
        <v>0</v>
      </c>
      <c r="AP19" s="950">
        <f>IF(ISNUMBER(((Datos!L19/Datos!K19)*11)/factor_trimestre),((Datos!L19/Datos!K19)*11)/factor_trimestre," - ")</f>
        <v>5.894948335246843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-0.30337078651685395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-5.2367211713155925E-3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59.333333333333336</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4.1311822359545785</v>
      </c>
      <c r="F21" s="735">
        <f>IF(ISNUMBER(STDEV(F8:F18)),STDEV(F8:F18),"-")</f>
        <v>51.384173957876691</v>
      </c>
      <c r="G21" s="736">
        <f>IF(ISNUMBER(STDEV(G8:G18)),STDEV(G8:G18),"-")</f>
        <v>51.384173957876691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15.588457268119896</v>
      </c>
      <c r="AC21" s="737">
        <f>IF(ISNUMBER(STDEV(AC8:AC18)),STDEV(AC8:AC18),"-")</f>
        <v>0</v>
      </c>
      <c r="AD21" s="740"/>
      <c r="AE21" s="740"/>
      <c r="AF21" s="740"/>
      <c r="AG21" s="740"/>
      <c r="AH21" s="740"/>
      <c r="AI21" s="740"/>
      <c r="AJ21" s="741">
        <f>IF(ISNUMBER(STDEV(AJ8:AJ18)),STDEV(AJ8:AJ18),"-")</f>
        <v>0</v>
      </c>
      <c r="AK21" s="743"/>
      <c r="AL21" s="735">
        <f>IF(ISNUMBER(STDEV(AL8:AL18)),STDEV(AL8:AL18),"-")</f>
        <v>158.9769375307836</v>
      </c>
      <c r="AM21" s="735"/>
      <c r="AN21" s="735">
        <f>IF(ISNUMBER(STDEV(AN8:AN18)),STDEV(AN8:AN18),"-")</f>
        <v>0</v>
      </c>
      <c r="AO21" s="741">
        <f>IF(ISNUMBER(STDEV(AO8:AO18)),STDEV(AO8:AO18),"-")</f>
        <v>0</v>
      </c>
      <c r="AP21" s="778">
        <f>IF(ISNUMBER(STDEV(AP8:AP18)),STDEV(AP8:AP18),"-")</f>
        <v>2.5642890186368428</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Kc8MM6MjqOYScpBZ0pS8BfvUWB7cyXGbe/ikj+AZzTG68jMKcVcVHk1/5uDDiAH01Dv4zcEKq2LPE9CotqBu2A==" saltValue="YQxFcRMwSSCVV3cDt586w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NAVALCARNERO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0YNVB54lAE2CpPCoJD6c5gvoi6ollgkvJHjmO49CIWTULhhYmnBL4+GCvRzy1t5uDKQWCbhZgGythcWVX3DjuQ==" saltValue="8OYx8cvOzPj0gvG5liSv+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NAVALCARNERO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14</v>
      </c>
      <c r="E10" s="403">
        <f>IF(ISNUMBER(D10/B10),D10/B10," - ")</f>
        <v>14</v>
      </c>
      <c r="F10" s="402">
        <f>IF(ISNUMBER(Datos!N10),Datos!N10," - ")</f>
        <v>17</v>
      </c>
      <c r="G10" s="403">
        <f>IF(ISNUMBER(F10/B10),F10/B10," - ")</f>
        <v>17</v>
      </c>
      <c r="H10" s="402">
        <f>IF(ISNUMBER(Datos!O10),Datos!O10," - ")</f>
        <v>0</v>
      </c>
      <c r="I10" s="403">
        <f t="shared" ref="I10:I12" si="2">IF(ISNUMBER(H10/B10),H10/B10," - ")</f>
        <v>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275</v>
      </c>
      <c r="E12" s="403">
        <f t="shared" si="0"/>
        <v>34.375</v>
      </c>
      <c r="F12" s="402">
        <f>IF(ISNUMBER(Datos!N12),Datos!N12," - ")</f>
        <v>1106</v>
      </c>
      <c r="G12" s="403">
        <f t="shared" si="1"/>
        <v>138.25</v>
      </c>
      <c r="H12" s="402">
        <f>IF(ISNUMBER(Datos!O12),Datos!O12," - ")</f>
        <v>617</v>
      </c>
      <c r="I12" s="403">
        <f t="shared" si="2"/>
        <v>77.125</v>
      </c>
      <c r="BZ12" s="1185">
        <f>Datos!EZ12</f>
        <v>0</v>
      </c>
    </row>
    <row r="13" spans="1:78" ht="14.25" thickTop="1" thickBot="1">
      <c r="A13" s="847" t="str">
        <f>Datos!A13</f>
        <v>TOTAL</v>
      </c>
      <c r="B13" s="848">
        <f>Datos!AP13</f>
        <v>8</v>
      </c>
      <c r="C13" s="850">
        <f>Datos!AR13</f>
        <v>8</v>
      </c>
      <c r="D13" s="848">
        <f>SUBTOTAL(9,D9:D12)</f>
        <v>289</v>
      </c>
      <c r="E13" s="849">
        <f t="shared" si="0"/>
        <v>36.125</v>
      </c>
      <c r="F13" s="848">
        <f>SUBTOTAL(9,F9:F12)</f>
        <v>1123</v>
      </c>
      <c r="G13" s="849">
        <f t="shared" si="1"/>
        <v>140.375</v>
      </c>
      <c r="H13" s="848">
        <f>SUBTOTAL(9,H9:H12)</f>
        <v>617</v>
      </c>
      <c r="I13" s="849">
        <f>IF(ISNUMBER(H13/B13),H13/B13," - ")</f>
        <v>77.125</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189</v>
      </c>
      <c r="E16" s="403">
        <f t="shared" si="3"/>
        <v>23.625</v>
      </c>
      <c r="F16" s="402">
        <f>IF(ISNUMBER(Datos!N16),Datos!N16," - ")</f>
        <v>1090</v>
      </c>
      <c r="G16" s="403">
        <f t="shared" si="4"/>
        <v>136.25</v>
      </c>
      <c r="H16" s="402">
        <f>IF(ISNUMBER(Datos!O16),Datos!O16," - ")</f>
        <v>44</v>
      </c>
      <c r="I16" s="403">
        <f t="shared" si="5"/>
        <v>5.5</v>
      </c>
      <c r="BZ16" s="1185">
        <f>Datos!EZ16</f>
        <v>0</v>
      </c>
    </row>
    <row r="17" spans="1:78" ht="13.5" thickBot="1">
      <c r="A17" s="401" t="str">
        <f>Datos!A17</f>
        <v>Jdos. Violencia contra la mujer/Secc Viol. TI.</v>
      </c>
      <c r="B17" s="426">
        <f>Datos!AO17</f>
        <v>1</v>
      </c>
      <c r="C17" s="427">
        <f>Datos!AQ17</f>
        <v>0</v>
      </c>
      <c r="D17" s="402">
        <f>IF(ISNUMBER(Datos!M17),Datos!M17," - ")</f>
        <v>9</v>
      </c>
      <c r="E17" s="403">
        <f>IF(ISNUMBER(D17/B17),D17/B17," - ")</f>
        <v>9</v>
      </c>
      <c r="F17" s="402">
        <f>IF(ISNUMBER(Datos!N17),Datos!N17," - ")</f>
        <v>86</v>
      </c>
      <c r="G17" s="403">
        <f>IF(ISNUMBER(F17/B17),F17/B17," - ")</f>
        <v>86</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198</v>
      </c>
      <c r="E18" s="849">
        <f t="shared" si="3"/>
        <v>24.75</v>
      </c>
      <c r="F18" s="848">
        <f>SUBTOTAL(9,F15:F17)</f>
        <v>1176</v>
      </c>
      <c r="G18" s="849">
        <f t="shared" si="4"/>
        <v>147</v>
      </c>
      <c r="H18" s="848">
        <f>SUBTOTAL(9,H15:H17)</f>
        <v>44</v>
      </c>
      <c r="I18" s="849">
        <f>IF(ISNUMBER(H18/B18),H18/B18," - ")</f>
        <v>5.5</v>
      </c>
      <c r="BZ18" s="1185"/>
    </row>
    <row r="19" spans="1:78" ht="14.25" thickTop="1" thickBot="1">
      <c r="A19" s="792" t="str">
        <f>Datos!A19</f>
        <v>TOTAL JURISDICCIONES</v>
      </c>
      <c r="B19" s="793">
        <f>Datos!AP19</f>
        <v>8</v>
      </c>
      <c r="C19" s="793">
        <f>Datos!AR19</f>
        <v>8</v>
      </c>
      <c r="D19" s="793">
        <f>SUBTOTAL(9,D8:D18)</f>
        <v>487</v>
      </c>
      <c r="E19" s="794">
        <f>IF(ISNUMBER(D19/B19),D19/B19," - ")</f>
        <v>60.875</v>
      </c>
      <c r="F19" s="793">
        <f>SUBTOTAL(9,F8:F18)</f>
        <v>2299</v>
      </c>
      <c r="G19" s="794">
        <f>IF(ISNUMBER(F19/B19),F19/B19," - ")</f>
        <v>287.375</v>
      </c>
      <c r="H19" s="793">
        <f>SUBTOTAL(9,H8:H18)</f>
        <v>661</v>
      </c>
      <c r="I19" s="794">
        <f>IF(ISNUMBER(H19/B19),H19/B19," - ")</f>
        <v>82.625</v>
      </c>
    </row>
    <row r="22" spans="1:78">
      <c r="A22" s="390" t="str">
        <f>Criterios!A4</f>
        <v>Fecha Informe: 09 dic. 2025</v>
      </c>
    </row>
    <row r="27" spans="1:78">
      <c r="A27" s="413"/>
    </row>
  </sheetData>
  <sheetProtection algorithmName="SHA-512" hashValue="oFs5uRHQUwt2KBXsZ9kDEslsBO0gMhd0O9iKXhgP8/pEeaxaVsT8vAktmzsA1qPutL2gut0LyXXMbAXB3S00MA==" saltValue="428pTHcVVMJL64PgTicpS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NAVALCARNERO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3</v>
      </c>
      <c r="C10" s="433">
        <f>IF(ISNUMBER(Datos!Q10),Datos!Q10," - ")</f>
        <v>9</v>
      </c>
      <c r="D10" s="407">
        <f>IF(ISNUMBER(Datos!R10),Datos!R10," - ")</f>
        <v>50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518</v>
      </c>
      <c r="C12" s="433">
        <f>IF(ISNUMBER(Datos!Q12),Datos!Q12," - ")</f>
        <v>467</v>
      </c>
      <c r="D12" s="407">
        <f>IF(ISNUMBER(Datos!R12),Datos!R12," - ")</f>
        <v>8955</v>
      </c>
    </row>
    <row r="13" spans="1:4" ht="14.25" thickTop="1" thickBot="1">
      <c r="A13" s="847" t="str">
        <f>Datos!A13</f>
        <v>TOTAL</v>
      </c>
      <c r="B13" s="848">
        <f>SUBTOTAL(9,B9:B12)</f>
        <v>521</v>
      </c>
      <c r="C13" s="852">
        <f>SUBTOTAL(9,C9:C12)</f>
        <v>476</v>
      </c>
      <c r="D13" s="850">
        <f>SUBTOTAL(9,D9:D12)</f>
        <v>9005</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44</v>
      </c>
      <c r="C16" s="433">
        <f>IF(ISNUMBER(Datos!Q16),Datos!Q16," - ")</f>
        <v>138</v>
      </c>
      <c r="D16" s="407">
        <f>IF(ISNUMBER(Datos!R16),Datos!R16," - ")</f>
        <v>303</v>
      </c>
    </row>
    <row r="17" spans="1:4" ht="13.5" thickBot="1">
      <c r="A17" s="401" t="str">
        <f>Datos!A17</f>
        <v>Jdos. Violencia contra la mujer/Secc Viol. TI.</v>
      </c>
      <c r="B17" s="432">
        <f>IF(ISNUMBER(Datos!P17),Datos!P17," - ")</f>
        <v>0</v>
      </c>
      <c r="C17" s="433">
        <f>IF(ISNUMBER(Datos!Q17),Datos!Q17," - ")</f>
        <v>0</v>
      </c>
      <c r="D17" s="407">
        <f>IF(ISNUMBER(Datos!R17),Datos!R17," - ")</f>
        <v>0</v>
      </c>
    </row>
    <row r="18" spans="1:4" ht="14.25" thickTop="1" thickBot="1">
      <c r="A18" s="847" t="str">
        <f>Datos!A18</f>
        <v>TOTAL</v>
      </c>
      <c r="B18" s="848">
        <f>SUBTOTAL(9,B15:B17)</f>
        <v>44</v>
      </c>
      <c r="C18" s="852">
        <f>SUBTOTAL(9,C15:C17)</f>
        <v>138</v>
      </c>
      <c r="D18" s="850">
        <f>SUBTOTAL(9,D15:D17)</f>
        <v>303</v>
      </c>
    </row>
    <row r="19" spans="1:4" ht="16.5" customHeight="1" thickTop="1" thickBot="1">
      <c r="A19" s="792" t="str">
        <f>Datos!A19</f>
        <v>TOTAL JURISDICCIONES</v>
      </c>
      <c r="B19" s="797">
        <f>SUBTOTAL(9,B8:B18)</f>
        <v>565</v>
      </c>
      <c r="C19" s="798">
        <f>SUBTOTAL(9,C8:C18)</f>
        <v>614</v>
      </c>
      <c r="D19" s="799">
        <f>SUBTOTAL(9,D8:D18)</f>
        <v>9308</v>
      </c>
    </row>
    <row r="20" spans="1:4" ht="7.5" customHeight="1"/>
    <row r="21" spans="1:4" ht="6" customHeight="1"/>
    <row r="22" spans="1:4">
      <c r="A22" s="390" t="str">
        <f>Criterios!A4</f>
        <v>Fecha Informe: 09 dic. 2025</v>
      </c>
    </row>
    <row r="27" spans="1:4">
      <c r="A27" s="413"/>
    </row>
  </sheetData>
  <sheetProtection algorithmName="SHA-512" hashValue="yP+m0ECxTzJEvTNzCV+2VyweSg2CJTpfMKh9LPySv6+kWxZfzs8Hn21aRHKmZO2Hp5txZiHGhgkXIv7NJaoqPA==" saltValue="LA9m75fqW/LdAxmGqKqj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NAVALCARNERO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0.12658227848101267</v>
      </c>
      <c r="C10" s="455">
        <f>IF(ISNUMBER((Datos!J10-Datos!T10)/Datos!T10),(Datos!J10-Datos!T10)/Datos!T10," - ")</f>
        <v>-0.17647058823529413</v>
      </c>
      <c r="D10" s="455">
        <f>IF(ISNUMBER((Datos!K10-Datos!U10)/Datos!U10),(Datos!K10-Datos!U10)/Datos!U10," - ")</f>
        <v>-0.15625</v>
      </c>
      <c r="E10" s="455">
        <f>IF(ISNUMBER((Datos!L10-Datos!V10)/Datos!V10),(Datos!L10-Datos!V10)/Datos!V10," - ")</f>
        <v>0.1111111111111111</v>
      </c>
      <c r="F10" s="455">
        <f>IF(ISNUMBER((Datos!M10-Datos!W10)/Datos!W10),(Datos!M10-Datos!W10)/Datos!W10," - ")</f>
        <v>0</v>
      </c>
      <c r="G10" s="456">
        <f>IF(ISNUMBER((Datos!N10-Datos!X10)/Datos!X10),(Datos!N10-Datos!X10)/Datos!X10," - ")</f>
        <v>-5.5555555555555552E-2</v>
      </c>
      <c r="H10" s="454">
        <f>IF(ISNUMBER(((NºAsuntos!G10/NºAsuntos!E10)-Datos!BD10)/Datos!BD10),((NºAsuntos!G10/NºAsuntos!E10)-Datos!BD10)/Datos!BD10," - ")</f>
        <v>2.4553571428571459E-2</v>
      </c>
      <c r="I10" s="455">
        <f>IF(ISNUMBER(((NºAsuntos!I10/NºAsuntos!G10)-Datos!BE10)/Datos!BE10),((NºAsuntos!I10/NºAsuntos!G10)-Datos!BE10)/Datos!BE10," - ")</f>
        <v>0.31687242798353915</v>
      </c>
      <c r="J10" s="460">
        <f>IF(ISNUMBER((('Resol  Asuntos'!D10/NºAsuntos!G10)-Datos!BF10)/Datos!BF10),(('Resol  Asuntos'!D10/NºAsuntos!G10)-Datos!BF10)/Datos!BF10," - ")</f>
        <v>0.18518518518518512</v>
      </c>
      <c r="K10" s="461">
        <f>IF(ISNUMBER((((NºAsuntos!C10+NºAsuntos!E10)/NºAsuntos!G10)-Datos!BG10)/Datos!BG10),(((NºAsuntos!C10+NºAsuntos!E10)/NºAsuntos!G10)-Datos!BG10)/Datos!BG10," - ")</f>
        <v>0.22713864306784654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9.5642489210636228E-2</v>
      </c>
      <c r="C12" s="455">
        <f>IF(ISNUMBER(
   IF(J_V="SI",(Datos!J12-Datos!T12)/Datos!T12,(Datos!J12+Datos!Z12-(Datos!T12+Datos!AH12))/(Datos!T12+Datos!AH12))
     ),IF(J_V="SI",(Datos!J12-Datos!T12)/Datos!T12,(Datos!J12+Datos!Z12-(Datos!T12+Datos!AH12))/(Datos!T12+Datos!AH12))," - ")</f>
        <v>-0.32342007434944237</v>
      </c>
      <c r="D12" s="455">
        <f>IF(ISNUMBER(
   IF(J_V="SI",(Datos!K12-Datos!U12)/Datos!U12,(Datos!K12+Datos!AA12-(Datos!U12+Datos!AI12))/(Datos!U12+Datos!AI12))
     ),IF(J_V="SI",(Datos!K12-Datos!U12)/Datos!U12,(Datos!K12+Datos!AA12-(Datos!U12+Datos!AI12))/(Datos!U12+Datos!AI12))," - ")</f>
        <v>-9.701126898579128E-2</v>
      </c>
      <c r="E12" s="455">
        <f>IF(ISNUMBER(
   IF(J_V="SI",(Datos!L12-Datos!V12)/Datos!V12,(Datos!L12+Datos!AB12-(Datos!V12+Datos!AJ12))/(Datos!V12+Datos!AJ12))
     ),IF(J_V="SI",(Datos!L12-Datos!V12)/Datos!V12,(Datos!L12+Datos!AB12-(Datos!V12+Datos!AJ12))/(Datos!V12+Datos!AJ12))," - ")</f>
        <v>3.3752939549038595E-2</v>
      </c>
      <c r="F12" s="455">
        <f>IF(ISNUMBER((Datos!M12-Datos!W12)/Datos!W12),(Datos!M12-Datos!W12)/Datos!W12," - ")</f>
        <v>-0.2231638418079096</v>
      </c>
      <c r="G12" s="456">
        <f>IF(ISNUMBER((Datos!N12-Datos!X12)/Datos!X12),(Datos!N12-Datos!X12)/Datos!X12," - ")</f>
        <v>5.3333333333333337E-2</v>
      </c>
      <c r="H12" s="454">
        <f>IF(ISNUMBER(((NºAsuntos!G12/NºAsuntos!E12)-Datos!BD12)/Datos!BD12),((NºAsuntos!G12/NºAsuntos!E12)-Datos!BD12)/Datos!BD12," - ")</f>
        <v>0.33463719034517653</v>
      </c>
      <c r="I12" s="455">
        <f>IF(ISNUMBER(((NºAsuntos!I12/NºAsuntos!G12)-Datos!BE12)/Datos!BE12),((NºAsuntos!I12/NºAsuntos!G12)-Datos!BE12)/Datos!BE12," - ")</f>
        <v>0.14481266935409012</v>
      </c>
      <c r="J12" s="460">
        <f>IF(ISNUMBER((('Resol  Asuntos'!D12/NºAsuntos!G12)-Datos!BF12)/Datos!BF12),(('Resol  Asuntos'!D12/NºAsuntos!G12)-Datos!BF12)/Datos!BF12," - ")</f>
        <v>-0.70995788440172602</v>
      </c>
      <c r="K12" s="461">
        <f>IF(ISNUMBER((((NºAsuntos!C12+NºAsuntos!E12)/NºAsuntos!G12)-Datos!BG12)/Datos!BG12),(((NºAsuntos!C12+NºAsuntos!E12)/NºAsuntos!G12)-Datos!BG12)/Datos!BG12," - ")</f>
        <v>0.10636584060884405</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9.5979069126962274E-2</v>
      </c>
      <c r="C13" s="854">
        <f>IF(ISNUMBER(
   IF(J_V="SI",(Datos!J13-Datos!T13)/Datos!T13,(Datos!J13+Datos!Z13-(Datos!T13+Datos!AH13))/(Datos!T13+Datos!AH13))
     ),IF(J_V="SI",(Datos!J13-Datos!T13)/Datos!T13,(Datos!J13+Datos!Z13-(Datos!T13+Datos!AH13))/(Datos!T13+Datos!AH13))," - ")</f>
        <v>-0.32113449222323881</v>
      </c>
      <c r="D13" s="854">
        <f>IF(ISNUMBER(
   IF(J_V="SI",(Datos!K13-Datos!U13)/Datos!U13,(Datos!K13+Datos!AA13-(Datos!U13+Datos!AI13))/(Datos!U13+Datos!AI13))
     ),IF(J_V="SI",(Datos!K13-Datos!U13)/Datos!U13,(Datos!K13+Datos!AA13-(Datos!U13+Datos!AI13))/(Datos!U13+Datos!AI13))," - ")</f>
        <v>-9.792571152918475E-2</v>
      </c>
      <c r="E13" s="854">
        <f>IF(ISNUMBER(
   IF(J_V="SI",(Datos!L13-Datos!V13)/Datos!V13,(Datos!L13+Datos!AB13-(Datos!V13+Datos!AJ13))/(Datos!V13+Datos!AJ13))
     ),IF(J_V="SI",(Datos!L13-Datos!V13)/Datos!V13,(Datos!L13+Datos!AB13-(Datos!V13+Datos!AJ13))/(Datos!V13+Datos!AJ13))," - ")</f>
        <v>3.4610123119015047E-2</v>
      </c>
      <c r="F13" s="855">
        <f>IF(ISNUMBER((Datos!M13-Datos!W13)/Datos!W13),(Datos!M13-Datos!W13)/Datos!W13," - ")</f>
        <v>-0.21467391304347827</v>
      </c>
      <c r="G13" s="856">
        <f>IF(ISNUMBER((Datos!N13-Datos!X13)/Datos!X13),(Datos!N13-Datos!X13)/Datos!X13," - ")</f>
        <v>5.1498127340823971E-2</v>
      </c>
      <c r="H13" s="856">
        <f>IF(ISNUMBER(((NºAsuntos!G13/NºAsuntos!E13)-Datos!BD13)/Datos!BD13),((NºAsuntos!G13/NºAsuntos!E13)-Datos!BD13)/Datos!BD13," - ")</f>
        <v>0.32879676185795287</v>
      </c>
      <c r="I13" s="856">
        <f>IF(ISNUMBER(((NºAsuntos!I13/NºAsuntos!G13)-Datos!BE13)/Datos!BE13),((NºAsuntos!I13/NºAsuntos!G13)-Datos!BE13)/Datos!BE13," - ")</f>
        <v>0.14692341455920749</v>
      </c>
      <c r="J13" s="856">
        <f>IF(ISNUMBER((('Resol  Asuntos'!D13/NºAsuntos!G13)-Datos!BF13)/Datos!BF13),(('Resol  Asuntos'!D13/NºAsuntos!G13)-Datos!BF13)/Datos!BF13," - ")</f>
        <v>-0.69889781271360218</v>
      </c>
      <c r="K13" s="856">
        <f>IF(ISNUMBER((((NºAsuntos!C13+NºAsuntos!E13)/NºAsuntos!G13)-Datos!BG13)/Datos!BG13),(((NºAsuntos!C13+NºAsuntos!E13)/NºAsuntos!G13)-Datos!BG13)/Datos!BG13," - ")</f>
        <v>0.10796948792603027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6.5006331785563531E-2</v>
      </c>
      <c r="C16" s="455">
        <f>IF(ISNUMBER(
   IF(D_I="SI",(Datos!J16-Datos!T16)/Datos!T16,(Datos!J16+Datos!AD16-(Datos!T16+Datos!AL16))/(Datos!T16+Datos!AL16))
     ),IF(D_I="SI",(Datos!J16-Datos!T16)/Datos!T16,(Datos!J16+Datos!AD16-(Datos!T16+Datos!AL16))/(Datos!T16+Datos!AL16))," - ")</f>
        <v>4.8924731182795701E-2</v>
      </c>
      <c r="D16" s="455">
        <f>IF(ISNUMBER(
   IF(D_I="SI",(Datos!K16-Datos!U16)/Datos!U16,(Datos!K16+Datos!AE16-(Datos!U16+Datos!AM16))/(Datos!U16+Datos!AM16))
     ),IF(D_I="SI",(Datos!K16-Datos!U16)/Datos!U16,(Datos!K16+Datos!AE16-(Datos!U16+Datos!AM16))/(Datos!U16+Datos!AM16))," - ")</f>
        <v>-6.8807339449541288E-3</v>
      </c>
      <c r="E16" s="455">
        <f>IF(ISNUMBER(
   IF(D_I="SI",(Datos!L16-Datos!V16)/Datos!V16,(Datos!L16+Datos!AF16-(Datos!V16+Datos!AN16))/(Datos!V16+Datos!AN16))
     ),IF(D_I="SI",(Datos!L16-Datos!V16)/Datos!V16,(Datos!L16+Datos!AF16-(Datos!V16+Datos!AN16))/(Datos!V16+Datos!AN16))," - ")</f>
        <v>0.11168727562824092</v>
      </c>
      <c r="F16" s="455">
        <f>IF(ISNUMBER((Datos!M16-Datos!W16)/Datos!W16),(Datos!M16-Datos!W16)/Datos!W16," - ")</f>
        <v>-0.28136882129277568</v>
      </c>
      <c r="G16" s="456">
        <f>IF(ISNUMBER((Datos!N16-Datos!X16)/Datos!X16),(Datos!N16-Datos!X16)/Datos!X16," - ")</f>
        <v>2.0599250936329586E-2</v>
      </c>
      <c r="H16" s="454">
        <f>IF(ISNUMBER(((NºAsuntos!G16/NºAsuntos!E16)-Datos!BD16)/Datos!BD16),((NºAsuntos!G16/NºAsuntos!E16)-Datos!BD16)/Datos!BD16," - ")</f>
        <v>-5.3202544919330956E-2</v>
      </c>
      <c r="I16" s="455">
        <f>IF(ISNUMBER(((NºAsuntos!I16/NºAsuntos!G16)-Datos!BE16)/Datos!BE16),((NºAsuntos!I16/NºAsuntos!G16)-Datos!BE16)/Datos!BE16," - ")</f>
        <v>0.11938949693744359</v>
      </c>
      <c r="J16" s="460">
        <f>IF(ISNUMBER((('Resol  Asuntos'!D16/NºAsuntos!G16)-Datos!BF16)/Datos!BF16),(('Resol  Asuntos'!D16/NºAsuntos!G16)-Datos!BF16)/Datos!BF16," - ")</f>
        <v>-0.27638985238718289</v>
      </c>
      <c r="K16" s="461">
        <f>IF(ISNUMBER((((NºAsuntos!C16+NºAsuntos!E16)/NºAsuntos!G16)-Datos!BG16)/Datos!BG16),(((NºAsuntos!C16+NºAsuntos!E16)/NºAsuntos!G16)-Datos!BG16)/Datos!BG16," - ")</f>
        <v>6.5263109607750724E-2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0.1130952380952381</v>
      </c>
      <c r="C17" s="455">
        <f>IF(ISNUMBER(
   IF(D_I="SI",(Datos!J17-Datos!T17)/Datos!T17,(Datos!J17+Datos!AD17-(Datos!T17+Datos!AL17))/(Datos!T17+Datos!AL17))
     ),IF(D_I="SI",(Datos!J17-Datos!T17)/Datos!T17,(Datos!J17+Datos!AD17-(Datos!T17+Datos!AL17))/(Datos!T17+Datos!AL17))," - ")</f>
        <v>-6.4285714285714279E-2</v>
      </c>
      <c r="D17" s="455">
        <f>IF(ISNUMBER(
   IF(D_I="SI",(Datos!K17-Datos!U17)/Datos!U17,(Datos!K17+Datos!AE17-(Datos!U17+Datos!AM17))/(Datos!U17+Datos!AM17))
     ),IF(D_I="SI",(Datos!K17-Datos!U17)/Datos!U17,(Datos!K17+Datos!AE17-(Datos!U17+Datos!AM17))/(Datos!U17+Datos!AM17))," - ")</f>
        <v>7.5187969924812026E-3</v>
      </c>
      <c r="E17" s="455">
        <f>IF(ISNUMBER(
   IF(D_I="SI",(Datos!L17-Datos!V17)/Datos!V17,(Datos!L17+Datos!AF17-(Datos!V17+Datos!AN17))/(Datos!V17+Datos!AN17))
     ),IF(D_I="SI",(Datos!L17-Datos!V17)/Datos!V17,(Datos!L17+Datos!AF17-(Datos!V17+Datos!AN17))/(Datos!V17+Datos!AN17))," - ")</f>
        <v>5.1428571428571428E-2</v>
      </c>
      <c r="F17" s="455">
        <f>IF(ISNUMBER((Datos!M17-Datos!W17)/Datos!W17),(Datos!M17-Datos!W17)/Datos!W17," - ")</f>
        <v>0</v>
      </c>
      <c r="G17" s="456">
        <f>IF(ISNUMBER((Datos!N17-Datos!X17)/Datos!X17),(Datos!N17-Datos!X17)/Datos!X17," - ")</f>
        <v>1.1764705882352941E-2</v>
      </c>
      <c r="H17" s="454">
        <f>IF(ISNUMBER(((NºAsuntos!G17/NºAsuntos!E17)-Datos!BD17)/Datos!BD17),((NºAsuntos!G17/NºAsuntos!E17)-Datos!BD17)/Datos!BD17," - ")</f>
        <v>7.6737645640819585E-2</v>
      </c>
      <c r="I17" s="455">
        <f>IF(ISNUMBER(((NºAsuntos!I17/NºAsuntos!G17)-Datos!BE17)/Datos!BE17),((NºAsuntos!I17/NºAsuntos!G17)-Datos!BE17)/Datos!BE17," - ")</f>
        <v>4.3582089552238704E-2</v>
      </c>
      <c r="J17" s="460">
        <f>IF(ISNUMBER((('Resol  Asuntos'!D17/NºAsuntos!G17)-Datos!BF17)/Datos!BF17),(('Resol  Asuntos'!D17/NºAsuntos!G17)-Datos!BF17)/Datos!BF17," - ")</f>
        <v>-7.4626865671641304E-3</v>
      </c>
      <c r="K17" s="461">
        <f>IF(ISNUMBER((((NºAsuntos!C17+NºAsuntos!E17)/NºAsuntos!G17)-Datos!BG17)/Datos!BG17),(((NºAsuntos!C17+NºAsuntos!E17)/NºAsuntos!G17)-Datos!BG17)/Datos!BG17," - ")</f>
        <v>2.476255088195381E-2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6.8190776507686249E-2</v>
      </c>
      <c r="C18" s="854">
        <f>IF(ISNUMBER(
   IF(Criterios!B14="SI",(Datos!J18-Datos!T18)/Datos!T18,(Datos!J18+Datos!AD18-(Datos!T18+Datos!AL18))/(Datos!T18+Datos!AL18))
     ),IF(Criterios!B14="SI",(Datos!J18-Datos!T18)/Datos!T18,(Datos!J18+Datos!AD18-(Datos!T18+Datos!AL18))/(Datos!T18+Datos!AL18))," - ")</f>
        <v>4.1000000000000002E-2</v>
      </c>
      <c r="D18" s="854">
        <f>IF(ISNUMBER(
   IF(Criterios!B14="SI",(Datos!K18-Datos!U18)/Datos!U18,(Datos!K18+Datos!AE18-(Datos!U18+Datos!AM18))/(Datos!U18+Datos!AM18))
     ),IF(Criterios!B14="SI",(Datos!K18-Datos!U18)/Datos!U18,(Datos!K18+Datos!AE18-(Datos!U18+Datos!AM18))/(Datos!U18+Datos!AM18))," - ")</f>
        <v>-5.8604155567394782E-3</v>
      </c>
      <c r="E18" s="854">
        <f>IF(ISNUMBER(
   IF(Criterios!B14="SI",(Datos!L18-Datos!V18)/Datos!V18,(Datos!L18+Datos!AF18-(Datos!V18+Datos!AN18))/(Datos!V18+Datos!AN18))
     ),IF(Criterios!B14="SI",(Datos!L18-Datos!V18)/Datos!V18,(Datos!L18+Datos!AF18-(Datos!V18+Datos!AN18))/(Datos!V18+Datos!AN18))," - ")</f>
        <v>0.10775540641312453</v>
      </c>
      <c r="F18" s="855">
        <f>IF(ISNUMBER((Datos!M18-Datos!W18)/Datos!W18),(Datos!M18-Datos!W18)/Datos!W18," - ")</f>
        <v>-0.27205882352941174</v>
      </c>
      <c r="G18" s="856">
        <f>IF(ISNUMBER((Datos!N18-Datos!X18)/Datos!X18),(Datos!N18-Datos!X18)/Datos!X18," - ")</f>
        <v>1.9947961838681701E-2</v>
      </c>
      <c r="H18" s="856">
        <f>IF(ISNUMBER(((NºAsuntos!G18/NºAsuntos!E18)-Datos!BD18)/Datos!BD18),((NºAsuntos!G18/NºAsuntos!E18)-Datos!BD18)/Datos!BD18," - ")</f>
        <v>-4.5014808411853534E-2</v>
      </c>
      <c r="I18" s="856">
        <f>IF(ISNUMBER(((NºAsuntos!I18/NºAsuntos!G18)-Datos!BE18)/Datos!BE18),((NºAsuntos!I18/NºAsuntos!G18)-Datos!BE18)/Datos!BE18," - ")</f>
        <v>0.11428558297826077</v>
      </c>
      <c r="J18" s="856">
        <f>IF(ISNUMBER((('Resol  Asuntos'!D18/NºAsuntos!G18)-Datos!BF18)/Datos!BF18),(('Resol  Asuntos'!D18/NºAsuntos!G18)-Datos!BF18)/Datos!BF18," - ")</f>
        <v>-0.2677676376016645</v>
      </c>
      <c r="K18" s="856">
        <f>IF(ISNUMBER((((NºAsuntos!C18+NºAsuntos!E18)/NºAsuntos!G18)-Datos!BG18)/Datos!BG18),(((NºAsuntos!C18+NºAsuntos!E18)/NºAsuntos!G18)-Datos!BG18)/Datos!BG18," - ")</f>
        <v>6.2430826589331814E-2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8.8784569854066742E-2</v>
      </c>
      <c r="C19" s="801">
        <f>IF(ISNUMBER(
   IF(J_V="SI",(Datos!J19-Datos!T19)/Datos!T19,(Datos!J19+Datos!Z19-(Datos!T19+Datos!AH19))/(Datos!T19+Datos!AH19))
     ),IF(J_V="SI",(Datos!J19-Datos!T19)/Datos!T19,(Datos!J19+Datos!Z19-(Datos!T19+Datos!AH19))/(Datos!T19+Datos!AH19))," - ")</f>
        <v>-0.14811275680840899</v>
      </c>
      <c r="D19" s="801">
        <f>IF(ISNUMBER(
   IF(J_V="SI",(Datos!K19-Datos!U19)/Datos!U19,(Datos!K19+Datos!AA19-(Datos!U19+Datos!AI19))/(Datos!U19+Datos!AI19))
     ),IF(J_V="SI",(Datos!K19-Datos!U19)/Datos!U19,(Datos!K19+Datos!AA19-(Datos!U19+Datos!AI19))/(Datos!U19+Datos!AI19))," - ")</f>
        <v>-5.4177215189873416E-2</v>
      </c>
      <c r="E19" s="801">
        <f>IF(ISNUMBER(
   IF(J_V="SI",(Datos!L19-Datos!V19)/Datos!V19,(Datos!L19+Datos!AB19-(Datos!V19+Datos!AJ19))/(Datos!V19+Datos!AJ19))
     ),IF(J_V="SI",(Datos!L19-Datos!V19)/Datos!V19,(Datos!L19+Datos!AB19-(Datos!V19+Datos!AJ19))/(Datos!V19+Datos!AJ19))," - ")</f>
        <v>5.4243394715772615E-2</v>
      </c>
      <c r="F19" s="802">
        <f>IF(ISNUMBER((Datos!M19-Datos!W19)/Datos!W19),(Datos!M19-Datos!W19)/Datos!W19," - ")</f>
        <v>-0.23906250000000001</v>
      </c>
      <c r="G19" s="803">
        <f>IF(ISNUMBER((Datos!N19-Datos!X19)/Datos!X19),(Datos!N19-Datos!X19)/Datos!X19," - ")</f>
        <v>3.5119315623592974E-2</v>
      </c>
      <c r="H19" s="804">
        <f>IF(ISNUMBER((Tasas!B19-Datos!BD19)/Datos!BD19),(Tasas!B19-Datos!BD19)/Datos!BD19," - ")</f>
        <v>0.11026757633628421</v>
      </c>
      <c r="I19" s="805">
        <f>IF(ISNUMBER((Tasas!C19-Datos!BE19)/Datos!BE19),(Tasas!C19-Datos!BE19)/Datos!BE19," - ")</f>
        <v>0.11463099816041269</v>
      </c>
      <c r="J19" s="806">
        <f>IF(ISNUMBER((Tasas!D19-Datos!BF19)/Datos!BF19),(Tasas!D19-Datos!BF19)/Datos!BF19," - ")</f>
        <v>-0.6145990941030145</v>
      </c>
      <c r="K19" s="806">
        <f>IF(ISNUMBER((Tasas!E19-Datos!BG19)/Datos!BG19),(Tasas!E19-Datos!BG19)/Datos!BG19," - ")</f>
        <v>7.6180773373735439E-2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7/lyzh4XZvpImKNlfzwkBOIUfJgxUKk4BT9CdlJLMB02pj5KrtkNYA7hTNuMr2M9EHPXH6CZQ6/fpa7ckw7jw==" saltValue="if8HubQTZu9ATV6ujoS9p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NAVALCARNERO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0.9642857142857143</v>
      </c>
      <c r="C10" s="442">
        <f>IF(ISNUMBER(NºAsuntos!I10/NºAsuntos!G10),NºAsuntos!I10/NºAsuntos!G10," - ")</f>
        <v>3.3333333333333335</v>
      </c>
      <c r="D10" s="443">
        <f>IF(ISNUMBER('Resol  Asuntos'!D10/NºAsuntos!G10),'Resol  Asuntos'!D10/NºAsuntos!G10," - ")</f>
        <v>0.51851851851851849</v>
      </c>
      <c r="E10" s="444">
        <f>IF(ISNUMBER((NºAsuntos!C10+NºAsuntos!E10)/NºAsuntos!G10),(NºAsuntos!C10+NºAsuntos!E10)/NºAsuntos!G10," - ")</f>
        <v>4.333333333333333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1.2657967032967032</v>
      </c>
      <c r="C12" s="442">
        <f>IF(ISNUMBER(NºAsuntos!I12/NºAsuntos!G12),NºAsuntos!I12/NºAsuntos!G12," - ")</f>
        <v>4.054801953336951</v>
      </c>
      <c r="D12" s="443">
        <f>IF(ISNUMBER('Resol  Asuntos'!D12/NºAsuntos!G12),'Resol  Asuntos'!D12/NºAsuntos!G12," - ")</f>
        <v>0.14921323928377644</v>
      </c>
      <c r="E12" s="444">
        <f>IF(ISNUMBER((NºAsuntos!C12+NºAsuntos!E12)/NºAsuntos!G12),(NºAsuntos!C12+NºAsuntos!E12)/NºAsuntos!G12," - ")</f>
        <v>5.0602278893109061</v>
      </c>
      <c r="G12" s="462"/>
    </row>
    <row r="13" spans="1:7" ht="14.25" thickTop="1" thickBot="1">
      <c r="A13" s="847" t="str">
        <f>Datos!A13</f>
        <v>TOTAL</v>
      </c>
      <c r="B13" s="857">
        <f>IF(ISNUMBER(NºAsuntos!G13/NºAsuntos!E13),NºAsuntos!G13/NºAsuntos!E13," - ")</f>
        <v>1.2601078167115902</v>
      </c>
      <c r="C13" s="858">
        <f>IF(ISNUMBER(NºAsuntos!I13/NºAsuntos!G13),NºAsuntos!I13/NºAsuntos!G13," - ")</f>
        <v>4.0443850267379675</v>
      </c>
      <c r="D13" s="859">
        <f>IF(ISNUMBER('Resol  Asuntos'!D13/NºAsuntos!G13),'Resol  Asuntos'!D13/NºAsuntos!G13," - ")</f>
        <v>0.15454545454545454</v>
      </c>
      <c r="E13" s="860">
        <f>IF(ISNUMBER((NºAsuntos!C13+NºAsuntos!E13)/NºAsuntos!G13),(NºAsuntos!C13+NºAsuntos!E13)/NºAsuntos!G13," - ")</f>
        <v>5.0497326203208557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0.88774987186058429</v>
      </c>
      <c r="C16" s="442">
        <f>IF(ISNUMBER(NºAsuntos!I16/NºAsuntos!G16),NºAsuntos!I16/NºAsuntos!G16," - ")</f>
        <v>1.6091224018475752</v>
      </c>
      <c r="D16" s="443">
        <f>IF(ISNUMBER('Resol  Asuntos'!D16/NºAsuntos!G16),'Resol  Asuntos'!D16/NºAsuntos!G16," - ")</f>
        <v>0.10912240184757506</v>
      </c>
      <c r="E16" s="444">
        <f>IF(ISNUMBER((NºAsuntos!C16+NºAsuntos!E16)/NºAsuntos!G16),(NºAsuntos!C16+NºAsuntos!E16)/NºAsuntos!G16," - ")</f>
        <v>2.5831408775981526</v>
      </c>
      <c r="G16" s="462"/>
    </row>
    <row r="17" spans="1:7" ht="21.75" thickBot="1">
      <c r="A17" s="401" t="str">
        <f>Datos!A17</f>
        <v>Jdos. Violencia contra la mujer/Secc Viol. TI.</v>
      </c>
      <c r="B17" s="441">
        <f>IF(ISNUMBER(NºAsuntos!G17/NºAsuntos!E17),NºAsuntos!G17/NºAsuntos!E17," - ")</f>
        <v>1.0229007633587786</v>
      </c>
      <c r="C17" s="442">
        <f>IF(ISNUMBER(NºAsuntos!I17/NºAsuntos!G17),NºAsuntos!I17/NºAsuntos!G17," - ")</f>
        <v>1.3731343283582089</v>
      </c>
      <c r="D17" s="443">
        <f>IF(ISNUMBER('Resol  Asuntos'!D17/NºAsuntos!G17),'Resol  Asuntos'!D17/NºAsuntos!G17," - ")</f>
        <v>6.7164179104477612E-2</v>
      </c>
      <c r="E17" s="444">
        <f>IF(ISNUMBER((NºAsuntos!C17+NºAsuntos!E17)/NºAsuntos!G17),(NºAsuntos!C17+NºAsuntos!E17)/NºAsuntos!G17," - ")</f>
        <v>2.3731343283582089</v>
      </c>
      <c r="G17" s="462"/>
    </row>
    <row r="18" spans="1:7" ht="14.25" thickTop="1" thickBot="1">
      <c r="A18" s="847" t="str">
        <f>Datos!A18</f>
        <v>TOTAL</v>
      </c>
      <c r="B18" s="857">
        <f>IF(ISNUMBER(NºAsuntos!G18/NºAsuntos!E18),NºAsuntos!G18/NºAsuntos!E18," - ")</f>
        <v>0.89625360230547546</v>
      </c>
      <c r="C18" s="858">
        <f>IF(ISNUMBER(NºAsuntos!I18/NºAsuntos!G18),NºAsuntos!I18/NºAsuntos!G18," - ")</f>
        <v>1.5921757770632368</v>
      </c>
      <c r="D18" s="861">
        <f>IF(ISNUMBER('Resol  Asuntos'!D18/NºAsuntos!G18),'Resol  Asuntos'!D18/NºAsuntos!G18," - ")</f>
        <v>0.10610932475884244</v>
      </c>
      <c r="E18" s="860">
        <f>IF(ISNUMBER((NºAsuntos!C18+NºAsuntos!E18)/NºAsuntos!G18),(NºAsuntos!C18+NºAsuntos!E18)/NºAsuntos!G18," - ")</f>
        <v>2.568060021436227</v>
      </c>
      <c r="G18" s="462"/>
    </row>
    <row r="19" spans="1:7" ht="15.75" customHeight="1" thickTop="1" thickBot="1">
      <c r="A19" s="792" t="str">
        <f>Datos!A19</f>
        <v>TOTAL JURISDICCIONES</v>
      </c>
      <c r="B19" s="807">
        <f>IF(ISNUMBER(NºAsuntos!G19/NºAsuntos!E19),NºAsuntos!G19/NºAsuntos!E19," - ")</f>
        <v>1.0476724621424565</v>
      </c>
      <c r="C19" s="808">
        <f>IF(ISNUMBER(NºAsuntos!I19/NºAsuntos!G19),NºAsuntos!I19/NºAsuntos!G19," - ")</f>
        <v>2.8195931477516059</v>
      </c>
      <c r="D19" s="809">
        <f>IF(ISNUMBER('Resol  Asuntos'!D19/NºAsuntos!G19),'Resol  Asuntos'!D19/NºAsuntos!G19," - ")</f>
        <v>0.13035331905781586</v>
      </c>
      <c r="E19" s="810">
        <f>IF(ISNUMBER((NºAsuntos!C19+NºAsuntos!E19)/NºAsuntos!G19),(NºAsuntos!C19+NºAsuntos!E19)/NºAsuntos!G19," - ")</f>
        <v>3.8102248394004281</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8HttEp4/IgGTOuaGG2jRNfJsLORHVR5mZuvW1tbksH3rAiZ/QNPZr3O82mxM3hGipzun+J9FUhsuv7Jr6Dmzxw==" saltValue="a0L5O4YHbhH5exiwWuJ15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NAVALCARNERO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89</v>
      </c>
      <c r="G10" s="332">
        <f>IF(ISNUMBER(Datos!I10),Datos!I10," - ")</f>
        <v>89</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3</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27</v>
      </c>
      <c r="X10" s="225">
        <f>IF(ISNUMBER(Datos!Q10),Datos!Q10," - ")</f>
        <v>9</v>
      </c>
      <c r="Y10" s="333">
        <f t="shared" ref="Y10:Y12" si="0">SUM(W10:X10)</f>
        <v>36</v>
      </c>
      <c r="Z10" s="334" t="str">
        <f>IF(ISNUMBER(Datos!CC10),Datos!CC10," - ")</f>
        <v xml:space="preserve"> - </v>
      </c>
      <c r="AA10" s="331">
        <f>IF(ISNUMBER(Datos!L10),Datos!L10,"-")</f>
        <v>90</v>
      </c>
      <c r="AB10" s="333">
        <f>IF(ISNUMBER(Datos!R10),Datos!R10," - ")</f>
        <v>50</v>
      </c>
      <c r="AC10" s="333">
        <f t="shared" ref="AC10:AC12" si="1">IF(ISNUMBER(AA10+AB10),AA10+AB10," - ")</f>
        <v>140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14</v>
      </c>
      <c r="AJ10" s="230" t="str">
        <f>IF(ISNUMBER(Datos!BW10),Datos!BW10," - ")</f>
        <v xml:space="preserve"> - </v>
      </c>
      <c r="AK10" s="231" t="str">
        <f>IF(ISNUMBER(Datos!BX10),Datos!BX10," - ")</f>
        <v xml:space="preserve"> - </v>
      </c>
      <c r="AL10" s="242">
        <f>IF(ISNUMBER(NºAsuntos!G10/NºAsuntos!E10),NºAsuntos!G10/NºAsuntos!E10," - ")</f>
        <v>0.9642857142857143</v>
      </c>
      <c r="AM10" s="259">
        <f>IF(ISNUMBER(((NºAsuntos!I10/NºAsuntos!G10)*11)/factor_trimestre),((NºAsuntos!I10/NºAsuntos!G10)*11)/factor_trimestre," - ")</f>
        <v>6.6666666666666679</v>
      </c>
      <c r="AN10" s="243">
        <f>IF(ISNUMBER('Resol  Asuntos'!D10/NºAsuntos!G10),'Resol  Asuntos'!D10/NºAsuntos!G10," - ")</f>
        <v>0.51851851851851849</v>
      </c>
      <c r="AO10" s="244">
        <f>IF(ISNUMBER((NºAsuntos!C10+NºAsuntos!E10)/NºAsuntos!G10),(NºAsuntos!C10+NºAsuntos!E10)/NºAsuntos!G10," - ")</f>
        <v>4.333333333333333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518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467</v>
      </c>
      <c r="Y12" s="333">
        <f t="shared" si="0"/>
        <v>467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8955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275</v>
      </c>
      <c r="AJ12" s="228" t="str">
        <f>IF(ISNUMBER(Datos!BW12),Datos!BW12," - ")</f>
        <v xml:space="preserve"> - </v>
      </c>
      <c r="AK12" s="227" t="str">
        <f>IF(ISNUMBER(Datos!BX12),Datos!BX12," - ")</f>
        <v xml:space="preserve"> - </v>
      </c>
      <c r="AL12" s="242">
        <f>IF(ISNUMBER(NºAsuntos!G12/NºAsuntos!E12),NºAsuntos!G12/NºAsuntos!E12," - ")</f>
        <v>1.2657967032967032</v>
      </c>
      <c r="AM12" s="259">
        <f>IF(ISNUMBER(((NºAsuntos!I12/NºAsuntos!G12)*11)/factor_trimestre),((NºAsuntos!I12/NºAsuntos!G12)*11)/factor_trimestre," - ")</f>
        <v>8.1096039066739021</v>
      </c>
      <c r="AN12" s="243">
        <f>IF(ISNUMBER('Resol  Asuntos'!D12/NºAsuntos!G12),'Resol  Asuntos'!D12/NºAsuntos!G12," - ")</f>
        <v>0.14921323928377644</v>
      </c>
      <c r="AO12" s="244">
        <f>IF(ISNUMBER((NºAsuntos!C12+NºAsuntos!E12)/NºAsuntos!G12),(NºAsuntos!C12+NºAsuntos!E12)/NºAsuntos!G12," - ")</f>
        <v>5.0602278893109061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89</v>
      </c>
      <c r="G13" s="865">
        <f t="shared" si="3"/>
        <v>89</v>
      </c>
      <c r="H13" s="864">
        <f t="shared" si="3"/>
        <v>0</v>
      </c>
      <c r="I13" s="866">
        <f t="shared" si="3"/>
        <v>0</v>
      </c>
      <c r="J13" s="866">
        <f t="shared" si="3"/>
        <v>0</v>
      </c>
      <c r="K13" s="866">
        <f t="shared" si="3"/>
        <v>0</v>
      </c>
      <c r="L13" s="866">
        <f t="shared" si="3"/>
        <v>521</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27</v>
      </c>
      <c r="X13" s="866">
        <f t="shared" si="4"/>
        <v>476</v>
      </c>
      <c r="Y13" s="867">
        <f t="shared" si="4"/>
        <v>503</v>
      </c>
      <c r="Z13" s="867">
        <f t="shared" si="4"/>
        <v>0</v>
      </c>
      <c r="AA13" s="867">
        <f t="shared" si="4"/>
        <v>90</v>
      </c>
      <c r="AB13" s="867">
        <f t="shared" si="4"/>
        <v>9005</v>
      </c>
      <c r="AC13" s="867">
        <f t="shared" si="4"/>
        <v>140</v>
      </c>
      <c r="AD13" s="867">
        <f t="shared" si="4"/>
        <v>0</v>
      </c>
      <c r="AE13" s="871">
        <f t="shared" si="4"/>
        <v>0</v>
      </c>
      <c r="AF13" s="864">
        <f t="shared" si="4"/>
        <v>0</v>
      </c>
      <c r="AG13" s="872">
        <f t="shared" si="4"/>
        <v>0</v>
      </c>
      <c r="AH13" s="869">
        <f t="shared" si="4"/>
        <v>0</v>
      </c>
      <c r="AI13" s="864">
        <f t="shared" si="4"/>
        <v>289</v>
      </c>
      <c r="AJ13" s="866">
        <f t="shared" si="4"/>
        <v>0</v>
      </c>
      <c r="AK13" s="869">
        <f>SUBTOTAL(9,AK9:AK12)</f>
        <v>0</v>
      </c>
      <c r="AL13" s="873">
        <f>IF(ISNUMBER(NºAsuntos!G13/NºAsuntos!E13),NºAsuntos!G13/NºAsuntos!E13," - ")</f>
        <v>1.2601078167115902</v>
      </c>
      <c r="AM13" s="873">
        <f>IF(ISNUMBER(((NºAsuntos!I13/NºAsuntos!G13)*11)/factor_trimestre),((NºAsuntos!I13/NºAsuntos!G13)*11)/factor_trimestre," - ")</f>
        <v>8.088770053475935</v>
      </c>
      <c r="AN13" s="874">
        <f>IF(ISNUMBER('Resol  Asuntos'!D13/NºAsuntos!G13),'Resol  Asuntos'!D13/NºAsuntos!G13," - ")</f>
        <v>0.15454545454545454</v>
      </c>
      <c r="AO13" s="875">
        <f>IF(ISNUMBER((NºAsuntos!C13+NºAsuntos!E13)/NºAsuntos!G13),(NºAsuntos!C13+NºAsuntos!E13)/NºAsuntos!G13," - ")</f>
        <v>5.0497326203208557</v>
      </c>
      <c r="AP13" s="876" t="str">
        <f t="shared" si="2"/>
        <v xml:space="preserve"> - </v>
      </c>
      <c r="AQ13" s="876">
        <f>IF(ISNUMBER((H13-W13+K13)/(F13)),(H13-W13+K13)/(F13)," - ")</f>
        <v>-0.30337078651685395</v>
      </c>
      <c r="AR13" s="877">
        <f>IF(ISNUMBER((Datos!P13-Datos!Q13)/(Datos!R13-Datos!P13+Datos!Q13)),(Datos!P13-Datos!Q13)/(Datos!R13-Datos!P13+Datos!Q13)," - ")</f>
        <v>5.0223214285714289E-3</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2568</v>
      </c>
      <c r="G16" s="332">
        <f>IF(ISNUMBER(IF(D_I="SI",Datos!I16,Datos!I16+Datos!AC16)),IF(D_I="SI",Datos!I16,Datos!I16+Datos!AC16)," - ")</f>
        <v>2523</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44</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1732</v>
      </c>
      <c r="X16" s="225">
        <f>IF(ISNUMBER(Datos!Q16),Datos!Q16," - ")</f>
        <v>138</v>
      </c>
      <c r="Y16" s="333">
        <f t="shared" ref="Y16:Y17" si="7">SUM(W16:X16)</f>
        <v>1870</v>
      </c>
      <c r="Z16" s="334" t="str">
        <f>IF(ISNUMBER(Datos!CC16),Datos!CC16," - ")</f>
        <v xml:space="preserve"> - </v>
      </c>
      <c r="AA16" s="331">
        <f>IF(ISNUMBER(IF(D_I="SI",Datos!L16,Datos!L16+Datos!AF16)),IF(D_I="SI",Datos!L16,Datos!L16+Datos!AF16)," - ")</f>
        <v>2787</v>
      </c>
      <c r="AB16" s="333">
        <f>IF(ISNUMBER(Datos!R16),Datos!R16," - ")</f>
        <v>303</v>
      </c>
      <c r="AC16" s="333">
        <f t="shared" si="6"/>
        <v>3090</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189</v>
      </c>
      <c r="AJ16" s="230" t="str">
        <f>IF(ISNUMBER(Datos!BW16),Datos!BW16," - ")</f>
        <v xml:space="preserve"> - </v>
      </c>
      <c r="AK16" s="231" t="str">
        <f>IF(ISNUMBER(Datos!BX16),Datos!BX16," - ")</f>
        <v xml:space="preserve"> - </v>
      </c>
      <c r="AL16" s="242">
        <f>IF(ISNUMBER(NºAsuntos!G16/NºAsuntos!E16),NºAsuntos!G16/NºAsuntos!E16," - ")</f>
        <v>0.88774987186058429</v>
      </c>
      <c r="AM16" s="259">
        <f>IF(ISNUMBER(((NºAsuntos!I16/NºAsuntos!G16)*11)/factor_trimestre),((NºAsuntos!I16/NºAsuntos!G16)*11)/factor_trimestre," - ")</f>
        <v>3.2182448036951503</v>
      </c>
      <c r="AN16" s="243">
        <f>IF(ISNUMBER('Resol  Asuntos'!D16/NºAsuntos!G16),'Resol  Asuntos'!D16/NºAsuntos!G16," - ")</f>
        <v>0.10912240184757506</v>
      </c>
      <c r="AO16" s="244">
        <f>IF(ISNUMBER((NºAsuntos!C16+NºAsuntos!E16)/NºAsuntos!G16),(NºAsuntos!C16+NºAsuntos!E16)/NºAsuntos!G16," - ")</f>
        <v>2.5831408775981526</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187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134</v>
      </c>
      <c r="X17" s="225">
        <f>IF(ISNUMBER(Datos!Q17),Datos!Q17," - ")</f>
        <v>0</v>
      </c>
      <c r="Y17" s="333">
        <f t="shared" si="7"/>
        <v>134</v>
      </c>
      <c r="Z17" s="334" t="str">
        <f>IF(ISNUMBER(Datos!CC17),Datos!CC17," - ")</f>
        <v xml:space="preserve"> - </v>
      </c>
      <c r="AA17" s="331">
        <f>IF(ISNUMBER(Datos!L17),Datos!L17,"-")</f>
        <v>184</v>
      </c>
      <c r="AB17" s="333">
        <f>IF(ISNUMBER(Datos!R17),Datos!R17," - ")</f>
        <v>0</v>
      </c>
      <c r="AC17" s="333">
        <f t="shared" si="6"/>
        <v>184</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9</v>
      </c>
      <c r="AJ17" s="230" t="str">
        <f>IF(ISNUMBER(Datos!BW17),Datos!BW17," - ")</f>
        <v xml:space="preserve"> - </v>
      </c>
      <c r="AK17" s="231" t="str">
        <f>IF(ISNUMBER(Datos!BX17),Datos!BX17," - ")</f>
        <v xml:space="preserve"> - </v>
      </c>
      <c r="AL17" s="242">
        <f>IF(ISNUMBER(NºAsuntos!G17/NºAsuntos!E17),NºAsuntos!G17/NºAsuntos!E17," - ")</f>
        <v>1.0229007633587786</v>
      </c>
      <c r="AM17" s="259">
        <f>IF(ISNUMBER(((NºAsuntos!I17/NºAsuntos!G17)*11)/factor_trimestre),((NºAsuntos!I17/NºAsuntos!G17)*11)/factor_trimestre," - ")</f>
        <v>2.7462686567164178</v>
      </c>
      <c r="AN17" s="243">
        <f>IF(ISNUMBER('Resol  Asuntos'!D17/NºAsuntos!G17),'Resol  Asuntos'!D17/NºAsuntos!G17," - ")</f>
        <v>6.7164179104477612E-2</v>
      </c>
      <c r="AO17" s="244">
        <f>IF(ISNUMBER((NºAsuntos!C17+NºAsuntos!E17)/NºAsuntos!G17),(NºAsuntos!C17+NºAsuntos!E17)/NºAsuntos!G17," - ")</f>
        <v>2.3731343283582089</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2568</v>
      </c>
      <c r="G18" s="865">
        <f>SUBTOTAL(9,G15:G17)</f>
        <v>2710</v>
      </c>
      <c r="H18" s="864">
        <f t="shared" ref="H18:O18" si="10">SUBTOTAL(9,H14:H17)</f>
        <v>0</v>
      </c>
      <c r="I18" s="866">
        <f t="shared" si="10"/>
        <v>0</v>
      </c>
      <c r="J18" s="866">
        <f t="shared" si="10"/>
        <v>0</v>
      </c>
      <c r="K18" s="866">
        <f t="shared" si="10"/>
        <v>0</v>
      </c>
      <c r="L18" s="866">
        <f t="shared" si="10"/>
        <v>44</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1866</v>
      </c>
      <c r="X18" s="866">
        <f t="shared" si="11"/>
        <v>138</v>
      </c>
      <c r="Y18" s="867">
        <f t="shared" si="11"/>
        <v>2004</v>
      </c>
      <c r="Z18" s="867">
        <f t="shared" si="11"/>
        <v>0</v>
      </c>
      <c r="AA18" s="867">
        <f t="shared" si="11"/>
        <v>2971</v>
      </c>
      <c r="AB18" s="867">
        <f t="shared" si="11"/>
        <v>303</v>
      </c>
      <c r="AC18" s="867">
        <f t="shared" si="11"/>
        <v>3274</v>
      </c>
      <c r="AD18" s="867">
        <f t="shared" si="11"/>
        <v>0</v>
      </c>
      <c r="AE18" s="871">
        <f t="shared" si="11"/>
        <v>0</v>
      </c>
      <c r="AF18" s="864">
        <f t="shared" si="11"/>
        <v>0</v>
      </c>
      <c r="AG18" s="872">
        <f t="shared" si="11"/>
        <v>0</v>
      </c>
      <c r="AH18" s="869">
        <f t="shared" si="11"/>
        <v>0</v>
      </c>
      <c r="AI18" s="864">
        <f t="shared" si="11"/>
        <v>198</v>
      </c>
      <c r="AJ18" s="866">
        <f t="shared" si="11"/>
        <v>0</v>
      </c>
      <c r="AK18" s="869">
        <f t="shared" si="11"/>
        <v>0</v>
      </c>
      <c r="AL18" s="873">
        <f>IF(ISNUMBER(NºAsuntos!G18/NºAsuntos!E18),NºAsuntos!G18/NºAsuntos!E18," - ")</f>
        <v>0.89625360230547546</v>
      </c>
      <c r="AM18" s="873">
        <f>IF(ISNUMBER(((NºAsuntos!I18/NºAsuntos!G18)*11)/factor_trimestre),((NºAsuntos!I18/NºAsuntos!G18)*11)/factor_trimestre," - ")</f>
        <v>3.1843515541264735</v>
      </c>
      <c r="AN18" s="874">
        <f>IF(ISNUMBER('Resol  Asuntos'!D18/NºAsuntos!G18),'Resol  Asuntos'!D18/NºAsuntos!G18," - ")</f>
        <v>0.10610932475884244</v>
      </c>
      <c r="AO18" s="875">
        <f>IF(ISNUMBER((NºAsuntos!C18+NºAsuntos!E18)/NºAsuntos!G18),(NºAsuntos!C18+NºAsuntos!E18)/NºAsuntos!G18," - ")</f>
        <v>2.568060021436227</v>
      </c>
      <c r="AP18" s="876" t="str">
        <f t="shared" si="2"/>
        <v xml:space="preserve"> - </v>
      </c>
      <c r="AQ18" s="876">
        <f>IF(ISNUMBER((H18-W18+K18)/(F18)),(H18-W18+K18)/(F18)," - ")</f>
        <v>-0.72663551401869164</v>
      </c>
      <c r="AR18" s="877">
        <f>IF(ISNUMBER((Datos!P18-Datos!Q18)/(Datos!R18-Datos!P18+Datos!Q18)),(Datos!P18-Datos!Q18)/(Datos!R18-Datos!P18+Datos!Q18)," - ")</f>
        <v>-0.23677581863979849</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2657</v>
      </c>
      <c r="G19" s="820">
        <f t="shared" si="13"/>
        <v>2799</v>
      </c>
      <c r="H19" s="819">
        <f t="shared" si="13"/>
        <v>0</v>
      </c>
      <c r="I19" s="821">
        <f t="shared" si="13"/>
        <v>0</v>
      </c>
      <c r="J19" s="821">
        <f t="shared" si="13"/>
        <v>0</v>
      </c>
      <c r="K19" s="880">
        <f t="shared" si="13"/>
        <v>0</v>
      </c>
      <c r="L19" s="821">
        <f t="shared" si="13"/>
        <v>565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1893</v>
      </c>
      <c r="X19" s="820">
        <f t="shared" si="14"/>
        <v>614</v>
      </c>
      <c r="Y19" s="827">
        <f t="shared" si="14"/>
        <v>2507</v>
      </c>
      <c r="Z19" s="827">
        <f t="shared" si="14"/>
        <v>0</v>
      </c>
      <c r="AA19" s="827">
        <f t="shared" si="14"/>
        <v>3061</v>
      </c>
      <c r="AB19" s="827">
        <f t="shared" si="14"/>
        <v>9308</v>
      </c>
      <c r="AC19" s="827">
        <f t="shared" si="14"/>
        <v>3414</v>
      </c>
      <c r="AD19" s="827">
        <f t="shared" si="14"/>
        <v>0</v>
      </c>
      <c r="AE19" s="829">
        <f t="shared" si="14"/>
        <v>0</v>
      </c>
      <c r="AF19" s="830">
        <f t="shared" si="14"/>
        <v>0</v>
      </c>
      <c r="AG19" s="831">
        <f t="shared" si="14"/>
        <v>0</v>
      </c>
      <c r="AH19" s="829">
        <f t="shared" si="14"/>
        <v>0</v>
      </c>
      <c r="AI19" s="819">
        <f t="shared" si="14"/>
        <v>487</v>
      </c>
      <c r="AJ19" s="819">
        <f t="shared" si="14"/>
        <v>0</v>
      </c>
      <c r="AK19" s="829">
        <f t="shared" si="14"/>
        <v>0</v>
      </c>
      <c r="AL19" s="883">
        <f>IF(ISNUMBER(NºAsuntos!G19/NºAsuntos!E19),NºAsuntos!G19/NºAsuntos!E19," - ")</f>
        <v>1.0476724621424565</v>
      </c>
      <c r="AM19" s="884">
        <f>IF(ISNUMBER(((NºAsuntos!I19/NºAsuntos!G19)*11)/factor_trimestre),((NºAsuntos!I19/NºAsuntos!G19)*11)/factor_trimestre," - ")</f>
        <v>5.6391862955032117</v>
      </c>
      <c r="AN19" s="884">
        <f>IF(ISNUMBER('Resol  Asuntos'!D19/NºAsuntos!G19),'Resol  Asuntos'!D19/NºAsuntos!G19," - ")</f>
        <v>0.13035331905781586</v>
      </c>
      <c r="AO19" s="885">
        <f>IF(ISNUMBER((NºAsuntos!C19+NºAsuntos!E19)/NºAsuntos!G19),(NºAsuntos!C19+NºAsuntos!E19)/NºAsuntos!G19," - ")</f>
        <v>3.8102248394004281</v>
      </c>
      <c r="AP19" s="886" t="str">
        <f t="shared" si="2"/>
        <v xml:space="preserve"> - </v>
      </c>
      <c r="AQ19" s="887">
        <f>IF(OR(ISNUMBER(FIND("01",Criterios!A8,1)),ISNUMBER(FIND("02",Criterios!A8,1)),ISNUMBER(FIND("03",Criterios!A8,1)),ISNUMBER(FIND("04",Criterios!A8,1))),(I19-W19+K19)/(F19-K19),(H19-W19+K19)/(F19-K19))</f>
        <v>-0.71245765901392544</v>
      </c>
      <c r="AR19" s="888">
        <f>IF(ISNUMBER((Datos!P19-Datos!Q19)/(Datos!R19-Datos!P19+Datos!Q19)),(Datos!P19-Datos!Q19)/(Datos!R19-Datos!P19+Datos!Q19)," - ")</f>
        <v>-5.2367211713155925E-3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1119.5999999999999</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4.2163702135578394</v>
      </c>
      <c r="F21" s="251">
        <f>IF(ISNUMBER(STDEV(F8:F18)),STDEV(F8:F18),"-")</f>
        <v>1431.2513173210823</v>
      </c>
      <c r="G21" s="252">
        <f>IF(ISNUMBER(STDEV(G8:G18)),STDEV(G8:G18),"-")</f>
        <v>1368.6598554790742</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953.20968312328841</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123.47901306159955</v>
      </c>
      <c r="AJ21" s="251">
        <f t="shared" si="18"/>
        <v>0</v>
      </c>
      <c r="AK21" s="253">
        <f t="shared" si="18"/>
        <v>0</v>
      </c>
      <c r="AL21" s="248">
        <f t="shared" si="18"/>
        <v>0.17248563480401216</v>
      </c>
      <c r="AM21" s="249">
        <f t="shared" si="18"/>
        <v>2.5636880146243826</v>
      </c>
      <c r="AN21" s="249">
        <f t="shared" si="18"/>
        <v>0.16691583131935847</v>
      </c>
      <c r="AO21" s="250">
        <f t="shared" si="18"/>
        <v>1.292543594502664</v>
      </c>
      <c r="AP21" s="290" t="str">
        <f t="shared" si="18"/>
        <v>-</v>
      </c>
      <c r="AQ21" s="291">
        <f t="shared" si="18"/>
        <v>0.2992933590536257</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D+qNrxooVd3U7otu46Gp9DpOtqTimQ21XbLvB4pisS2RsIwjw5bV1SlywTy/HvOmqVCNdTPclZND2STMMSvV9A==" saltValue="upBACAOPnBeFomLvIJhnB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NAVALCARNERO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0.12658227848101267</v>
      </c>
      <c r="E10" s="347">
        <f>IF(ISNUMBER((Datos!J10-Datos!T10)/Datos!T10),(Datos!J10-Datos!T10)/Datos!T10," - ")</f>
        <v>-0.17647058823529413</v>
      </c>
      <c r="F10" s="347">
        <f>IF(ISNUMBER((Datos!K10-Datos!U10)/Datos!U10),(Datos!K10-Datos!U10)/Datos!U10," - ")</f>
        <v>-0.15625</v>
      </c>
      <c r="G10" s="348">
        <f>IF(ISNUMBER((Datos!L10-Datos!V10)/Datos!V10),(Datos!L10-Datos!V10)/Datos!V10," - ")</f>
        <v>0.1111111111111111</v>
      </c>
      <c r="H10" s="229">
        <f>IF(ISNUMBER((Datos!M10-Datos!W10)/Datos!W10),(Datos!M10-Datos!W10)/Datos!W10," - ")</f>
        <v>0</v>
      </c>
      <c r="I10" s="349">
        <f>IF(ISNUMBER((Tasas!C10-Datos!BE10)/Datos!BE10),(Tasas!C10-Datos!BE10)/Datos!BE10," - ")</f>
        <v>0.31687242798353915</v>
      </c>
      <c r="J10" s="348">
        <f>IF(ISNUMBER((Tasas!D10-Datos!BF10)/Datos!BF10),(Tasas!D10-Datos!BF10)/Datos!BF10," - ")</f>
        <v>0.18518518518518512</v>
      </c>
      <c r="K10" s="350">
        <f>IF(ISNUMBER((Tasas!E10-Datos!BG10)/Datos!BG10),(Tasas!E10-Datos!BG10)/Datos!BG10," - ")</f>
        <v>0.22713864306784654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-0.2231638418079096</v>
      </c>
      <c r="I12" s="349">
        <f>IF(ISNUMBER((Tasas!C12-Datos!BE12)/Datos!BE12),(Tasas!C12-Datos!BE12)/Datos!BE12," - ")</f>
        <v>0.14481266935409012</v>
      </c>
      <c r="J12" s="348">
        <f>IF(ISNUMBER((Tasas!D12-Datos!BF12)/Datos!BF12),(Tasas!D12-Datos!BF12)/Datos!BF12," - ")</f>
        <v>-0.70995788440172602</v>
      </c>
      <c r="K12" s="350">
        <f>IF(ISNUMBER((Tasas!E12-Datos!BG12)/Datos!BG12),(Tasas!E12-Datos!BG12)/Datos!BG12," - ")</f>
        <v>0.10636584060884405</v>
      </c>
      <c r="M12" t="e">
        <f>IF(Monitorios="SI",Datos!CE12,0)</f>
        <v>#REF!</v>
      </c>
      <c r="N12" t="e">
        <f>IF(Monitorios="SI",Datos!CF12,0)</f>
        <v>#REF!</v>
      </c>
      <c r="O12" t="e">
        <f>IF(Monitorios="SI",Datos!CG12,0)</f>
        <v>#REF!</v>
      </c>
      <c r="P12" t="e">
        <f>IF(Monitorios="SI",Datos!CH12,0)</f>
        <v>#REF!</v>
      </c>
      <c r="Q12">
        <f>IF(J_V="SI",0,Datos!AG12)</f>
        <v>332</v>
      </c>
      <c r="R12">
        <f>IF(J_V="SI",0,Datos!AH12)</f>
        <v>230</v>
      </c>
      <c r="S12">
        <f>IF(J_V="SI",0,Datos!AI12)</f>
        <v>261</v>
      </c>
      <c r="T12">
        <f>IF(J_V="SI",0,Datos!AJ12)</f>
        <v>236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-0.21467391304347827</v>
      </c>
      <c r="I13" s="356">
        <f>IF(ISNUMBER((Tasas!C13-Datos!BE13)/Datos!BE13),(Tasas!C13-Datos!BE13)/Datos!BE13," - ")</f>
        <v>0.14692341455920749</v>
      </c>
      <c r="J13" s="354">
        <f>IF(ISNUMBER((Tasas!D13-Datos!BF13)/Datos!BF13),(Tasas!D13-Datos!BF13)/Datos!BF13," - ")</f>
        <v>-0.69889781271360218</v>
      </c>
      <c r="K13" s="357">
        <f>IF(ISNUMBER((Tasas!E13-Datos!BG13)/Datos!BG13),(Tasas!E13-Datos!BG13)/Datos!BG13," - ")</f>
        <v>0.10796948792603027</v>
      </c>
      <c r="M13" t="e">
        <f>IF(Monitorios="SI",Datos!CE13,0)</f>
        <v>#REF!</v>
      </c>
      <c r="N13" t="e">
        <f>IF(Monitorios="SI",Datos!CF13,0)</f>
        <v>#REF!</v>
      </c>
      <c r="O13" t="e">
        <f>IF(Monitorios="SI",Datos!CG13,0)</f>
        <v>#REF!</v>
      </c>
      <c r="P13" t="e">
        <f>IF(Monitorios="SI",Datos!CH13,0)</f>
        <v>#REF!</v>
      </c>
      <c r="Q13">
        <f>IF(J_V="SI",0,Datos!AG13)</f>
        <v>332</v>
      </c>
      <c r="R13">
        <f>IF(J_V="SI",0,Datos!AH13)</f>
        <v>230</v>
      </c>
      <c r="S13">
        <f>IF(J_V="SI",0,Datos!AI13)</f>
        <v>261</v>
      </c>
      <c r="T13">
        <f>IF(J_V="SI",0,Datos!AJ13)</f>
        <v>236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6.5006331785563531E-2</v>
      </c>
      <c r="E16" s="347">
        <f>IF(ISNUMBER(
   IF(D_I="SI",(Datos!J16-Datos!T16)/Datos!T16,(Datos!J16+Datos!AD16-(Datos!T16+Datos!AL16))/(Datos!T16+Datos!AL16))
     ),IF(D_I="SI",(Datos!J16-Datos!T16)/Datos!T16,(Datos!J16+Datos!AD16-(Datos!T16+Datos!AL16))/(Datos!T16+Datos!AL16))," - ")</f>
        <v>4.8924731182795701E-2</v>
      </c>
      <c r="F16" s="347">
        <f>IF(ISNUMBER(
   IF(D_I="SI",(Datos!K16-Datos!U16)/Datos!U16,(Datos!K16+Datos!AE16-(Datos!U16+Datos!AM16))/(Datos!U16+Datos!AM16))
     ),IF(D_I="SI",(Datos!K16-Datos!U16)/Datos!U16,(Datos!K16+Datos!AE16-(Datos!U16+Datos!AM16))/(Datos!U16+Datos!AM16))," - ")</f>
        <v>-6.8807339449541288E-3</v>
      </c>
      <c r="G16" s="348">
        <f>IF(ISNUMBER(
   IF(D_I="SI",(Datos!L16-Datos!V16)/Datos!V16,(Datos!L16+Datos!AF16-(Datos!V16+Datos!AN16))/(Datos!V16+Datos!AN16))
     ),IF(D_I="SI",(Datos!L16-Datos!V16)/Datos!V16,(Datos!L16+Datos!AF16-(Datos!V16+Datos!AN16))/(Datos!V16+Datos!AN16))," - ")</f>
        <v>0.11168727562824092</v>
      </c>
      <c r="H16" s="229">
        <f>IF(ISNUMBER((Datos!M16-Datos!W16)/Datos!W16),(Datos!M16-Datos!W16)/Datos!W16," - ")</f>
        <v>-0.28136882129277568</v>
      </c>
      <c r="I16" s="349">
        <f>IF(ISNUMBER((Tasas!C16-Datos!BE16)/Datos!BE16),(Tasas!C16-Datos!BE16)/Datos!BE16," - ")</f>
        <v>0.11938949693744359</v>
      </c>
      <c r="J16" s="348">
        <f>IF(ISNUMBER((Tasas!D16-Datos!BF16)/Datos!BF16),(Tasas!D16-Datos!BF16)/Datos!BF16," - ")</f>
        <v>-0.27638985238718289</v>
      </c>
      <c r="K16" s="350">
        <f>IF(ISNUMBER((Tasas!E16-Datos!BG16)/Datos!BG16),(Tasas!E16-Datos!BG16)/Datos!BG16," - ")</f>
        <v>6.5263109607750724E-2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0.1130952380952381</v>
      </c>
      <c r="E17" s="347">
        <f>IF(ISNUMBER(
   IF(D_I="SI",(Datos!J17-Datos!T17)/Datos!T17,(Datos!J17+Datos!AD17-(Datos!T17+Datos!AL17))/(Datos!T17+Datos!AL17))
     ),IF(D_I="SI",(Datos!J17-Datos!T17)/Datos!T17,(Datos!J17+Datos!AD17-(Datos!T17+Datos!AL17))/(Datos!T17+Datos!AL17))," - ")</f>
        <v>-6.4285714285714279E-2</v>
      </c>
      <c r="F17" s="347">
        <f>IF(ISNUMBER(
   IF(D_I="SI",(Datos!K17-Datos!U17)/Datos!U17,(Datos!K17+Datos!AE17-(Datos!U17+Datos!AM17))/(Datos!U17+Datos!AM17))
     ),IF(D_I="SI",(Datos!K17-Datos!U17)/Datos!U17,(Datos!K17+Datos!AE17-(Datos!U17+Datos!AM17))/(Datos!U17+Datos!AM17))," - ")</f>
        <v>7.5187969924812026E-3</v>
      </c>
      <c r="G17" s="348">
        <f>IF(ISNUMBER(
   IF(D_I="SI",(Datos!L17-Datos!V17)/Datos!V17,(Datos!L17+Datos!AF17-(Datos!V17+Datos!AN17))/(Datos!V17+Datos!AN17))
     ),IF(D_I="SI",(Datos!L17-Datos!V17)/Datos!V17,(Datos!L17+Datos!AF17-(Datos!V17+Datos!AN17))/(Datos!V17+Datos!AN17))," - ")</f>
        <v>5.1428571428571428E-2</v>
      </c>
      <c r="H17" s="229">
        <f>IF(ISNUMBER((Datos!M17-Datos!W17)/Datos!W17),(Datos!M17-Datos!W17)/Datos!W17," - ")</f>
        <v>0</v>
      </c>
      <c r="I17" s="349">
        <f>IF(ISNUMBER((Tasas!C17-Datos!BE17)/Datos!BE17),(Tasas!C17-Datos!BE17)/Datos!BE17," - ")</f>
        <v>4.3582089552238704E-2</v>
      </c>
      <c r="J17" s="348">
        <f>IF(ISNUMBER((Tasas!D17-Datos!BF17)/Datos!BF17),(Tasas!D17-Datos!BF17)/Datos!BF17," - ")</f>
        <v>-7.4626865671641304E-3</v>
      </c>
      <c r="K17" s="350">
        <f>IF(ISNUMBER((Tasas!E17-Datos!BG17)/Datos!BG17),(Tasas!E17-Datos!BG17)/Datos!BG17," - ")</f>
        <v>2.476255088195381E-2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6.8190776507686249E-2</v>
      </c>
      <c r="E18" s="353">
        <f>IF(ISNUMBER(
   IF(D_I="SI",(Datos!J18-Datos!T18)/Datos!T18,(Datos!J18+Datos!AD18-(Datos!T18+Datos!AL18))/(Datos!T18+Datos!AL18))
     ),IF(D_I="SI",(Datos!J18-Datos!T18)/Datos!T18,(Datos!J18+Datos!AD18-(Datos!T18+Datos!AL18))/(Datos!T18+Datos!AL18))," - ")</f>
        <v>4.1000000000000002E-2</v>
      </c>
      <c r="F18" s="353">
        <f>IF(ISNUMBER(
   IF(D_I="SI",(Datos!K18-Datos!U18)/Datos!U18,(Datos!K18+Datos!AE18-(Datos!U18+Datos!AM18))/(Datos!U18+Datos!AM18))
     ),IF(D_I="SI",(Datos!K18-Datos!U18)/Datos!U18,(Datos!K18+Datos!AE18-(Datos!U18+Datos!AM18))/(Datos!U18+Datos!AM18))," - ")</f>
        <v>-5.8604155567394782E-3</v>
      </c>
      <c r="G18" s="354">
        <f>IF(ISNUMBER(
   IF(D_I="SI",(Datos!L18-Datos!V18)/Datos!V18,(Datos!L18+Datos!AF18-(Datos!V18+Datos!AN18))/(Datos!V18+Datos!AN18))
     ),IF(D_I="SI",(Datos!L18-Datos!V18)/Datos!V18,(Datos!L18+Datos!AF18-(Datos!V18+Datos!AN18))/(Datos!V18+Datos!AN18))," - ")</f>
        <v>0.10775540641312453</v>
      </c>
      <c r="H18" s="355">
        <f>IF(ISNUMBER((Datos!M18-Datos!W18)/Datos!W18),(Datos!M18-Datos!W18)/Datos!W18," - ")</f>
        <v>-0.27205882352941174</v>
      </c>
      <c r="I18" s="356">
        <f>IF(ISNUMBER((Tasas!C18-Datos!BE18)/Datos!BE18),(Tasas!C18-Datos!BE18)/Datos!BE18," - ")</f>
        <v>0.11428558297826077</v>
      </c>
      <c r="J18" s="354">
        <f>IF(ISNUMBER((Tasas!D18-Datos!BF18)/Datos!BF18),(Tasas!D18-Datos!BF18)/Datos!BF18," - ")</f>
        <v>-0.2677676376016645</v>
      </c>
      <c r="K18" s="357">
        <f>IF(ISNUMBER((Tasas!E18-Datos!BG18)/Datos!BG18),(Tasas!E18-Datos!BG18)/Datos!BG18," - ")</f>
        <v>6.2430826589331814E-2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8.8784569854066742E-2</v>
      </c>
      <c r="E19" s="362">
        <f>IF(ISNUMBER(
   IF(J_V="SI",(Datos!J19-Datos!T19)/Datos!T19,(Datos!J19+Datos!Z19-(Datos!T19+Datos!AH19))/(Datos!T19+Datos!AH19))
     ),IF(J_V="SI",(Datos!J19-Datos!T19)/Datos!T19,(Datos!J19+Datos!Z19-(Datos!T19+Datos!AH19))/(Datos!T19+Datos!AH19))," - ")</f>
        <v>-0.14811275680840899</v>
      </c>
      <c r="F19" s="362">
        <f>IF(ISNUMBER(
   IF(J_V="SI",(Datos!K19-Datos!U19)/Datos!U19,(Datos!K19+Datos!AA19-(Datos!U19+Datos!AI19))/(Datos!U19+Datos!AI19))
     ),IF(J_V="SI",(Datos!K19-Datos!U19)/Datos!U19,(Datos!K19+Datos!AA19-(Datos!U19+Datos!AI19))/(Datos!U19+Datos!AI19))," - ")</f>
        <v>-5.4177215189873416E-2</v>
      </c>
      <c r="G19" s="363">
        <f>IF(ISNUMBER(
   IF(J_V="SI",(Datos!L19-Datos!V19)/Datos!V19,(Datos!L19+Datos!AB19-(Datos!V19+Datos!AJ19))/(Datos!V19+Datos!AJ19))
     ),IF(J_V="SI",(Datos!L19-Datos!V19)/Datos!V19,(Datos!L19+Datos!AB19-(Datos!V19+Datos!AJ19))/(Datos!V19+Datos!AJ19))," - ")</f>
        <v>5.4243394715772615E-2</v>
      </c>
      <c r="H19" s="364">
        <f>IF(ISNUMBER((Datos!M19-Datos!W19)/Datos!W19),(Datos!M19-Datos!W19)/Datos!W19," - ")</f>
        <v>-0.23906250000000001</v>
      </c>
      <c r="I19" s="361">
        <f>IF(ISNUMBER((Tasas!C19-Datos!BE19)/Datos!BE19),(Tasas!C19-Datos!BE19)/Datos!BE19," - ")</f>
        <v>0.11463099816041269</v>
      </c>
      <c r="J19" s="362">
        <f>IF(ISNUMBER((Tasas!D19-Datos!BF19)/Datos!BF19),(Tasas!D19-Datos!BF19)/Datos!BF19," - ")</f>
        <v>-0.6145990941030145</v>
      </c>
      <c r="K19" s="363">
        <f>IF(ISNUMBER((Tasas!E19-Datos!BG19)/Datos!BG19),(Tasas!E19-Datos!BG19)/Datos!BG19," - ")</f>
        <v>7.6180773373735439E-2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3.1254545324408627E-2</v>
      </c>
      <c r="E21" s="277">
        <f t="shared" si="1"/>
        <v>0.10592703489754235</v>
      </c>
      <c r="F21" s="277">
        <f t="shared" si="1"/>
        <v>7.7532689067511443E-2</v>
      </c>
      <c r="G21" s="278">
        <f t="shared" si="1"/>
        <v>2.942912620355034E-2</v>
      </c>
      <c r="H21" s="284">
        <f t="shared" si="1"/>
        <v>0.13061665860276472</v>
      </c>
      <c r="I21" s="276">
        <f t="shared" si="1"/>
        <v>9.0979974334420274E-2</v>
      </c>
      <c r="J21" s="277">
        <f t="shared" si="1"/>
        <v>0.36046144913282496</v>
      </c>
      <c r="K21" s="278">
        <f t="shared" si="1"/>
        <v>7.0058403395499305E-2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DJ7eMlQ4xAbHZFI9dn9ov/9Cmaw2deVqnraQBZrUGzGzxV7gfhsYiRzStd5pjd5GpdorzK2fseAL0V91K20L+w==" saltValue="Xm5rFr4GUWvB9lCycyA8A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2025-12-09T22:47:11Z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